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ewersassociation-my.sharepoint.com/personal/duncan_brewersassociation_org/Documents/Documents/"/>
    </mc:Choice>
  </mc:AlternateContent>
  <xr:revisionPtr revIDLastSave="0" documentId="8_{7EE7CBC9-D7EA-4D35-BC0B-D57E6C21E04B}" xr6:coauthVersionLast="47" xr6:coauthVersionMax="47" xr10:uidLastSave="{00000000-0000-0000-0000-000000000000}"/>
  <bookViews>
    <workbookView xWindow="-120" yWindow="-120" windowWidth="29040" windowHeight="15840" xr2:uid="{5EA3FCE1-A62D-4617-BBB8-E4CD79546D33}"/>
  </bookViews>
  <sheets>
    <sheet name="Main" sheetId="4" r:id="rId1"/>
    <sheet name="Exp Dil" sheetId="1" r:id="rId2"/>
    <sheet name="Pulsed Dil" sheetId="2" r:id="rId3"/>
    <sheet name="CO2 Sugar Priming" sheetId="5" r:id="rId4"/>
    <sheet name="CO2 Distribution" sheetId="8" r:id="rId5"/>
    <sheet name="O2 Distribution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9" l="1"/>
  <c r="B59" i="9"/>
  <c r="B50" i="9"/>
  <c r="B52" i="9" s="1"/>
  <c r="B65" i="8"/>
  <c r="B78" i="9" l="1"/>
  <c r="B79" i="9" s="1"/>
  <c r="B59" i="8"/>
  <c r="B50" i="8"/>
  <c r="B52" i="8" s="1"/>
  <c r="B50" i="5"/>
  <c r="B52" i="5" s="1"/>
  <c r="B59" i="5"/>
  <c r="B61" i="5" s="1"/>
  <c r="B69" i="5"/>
  <c r="B84" i="9" l="1"/>
  <c r="B77" i="8"/>
  <c r="B78" i="8" s="1"/>
  <c r="B78" i="5"/>
  <c r="B79" i="5" s="1"/>
  <c r="B84" i="5" s="1"/>
  <c r="B98" i="5"/>
  <c r="B100" i="5" s="1"/>
  <c r="B101" i="5" s="1"/>
  <c r="B103" i="5" s="1"/>
  <c r="B63" i="5"/>
  <c r="B65" i="5"/>
  <c r="E29" i="2"/>
  <c r="C34" i="2" s="1"/>
  <c r="T37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28" i="1"/>
  <c r="B86" i="9" l="1"/>
  <c r="B87" i="9" s="1"/>
  <c r="B88" i="9" s="1"/>
  <c r="B80" i="8"/>
  <c r="B81" i="8" s="1"/>
  <c r="B87" i="8"/>
  <c r="B88" i="8"/>
  <c r="B89" i="8" s="1"/>
  <c r="B91" i="5"/>
  <c r="B92" i="5" s="1"/>
  <c r="B93" i="5" s="1"/>
  <c r="B85" i="5"/>
  <c r="B86" i="5"/>
  <c r="B35" i="2"/>
  <c r="B34" i="2"/>
  <c r="C32" i="2"/>
  <c r="C33" i="2"/>
  <c r="C38" i="2"/>
  <c r="C37" i="2"/>
  <c r="B38" i="2"/>
  <c r="C36" i="2"/>
  <c r="B37" i="2"/>
  <c r="C35" i="2"/>
  <c r="B33" i="2"/>
  <c r="B36" i="2"/>
  <c r="B32" i="2"/>
  <c r="B82" i="8" l="1"/>
</calcChain>
</file>

<file path=xl/sharedStrings.xml><?xml version="1.0" encoding="utf-8"?>
<sst xmlns="http://schemas.openxmlformats.org/spreadsheetml/2006/main" count="279" uniqueCount="151">
  <si>
    <t>EXPONENTIAL DILUTION FUNCTION</t>
  </si>
  <si>
    <t>C0</t>
  </si>
  <si>
    <t>Initial conc</t>
  </si>
  <si>
    <t>u</t>
  </si>
  <si>
    <t>Flow rate</t>
  </si>
  <si>
    <t>t</t>
  </si>
  <si>
    <t>Elapsed time</t>
  </si>
  <si>
    <t>Volume of chamber</t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</si>
  <si>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0</t>
    </r>
  </si>
  <si>
    <t>%</t>
  </si>
  <si>
    <t>L/min</t>
  </si>
  <si>
    <t>L</t>
  </si>
  <si>
    <t>PULSED DILUTION FUNCTION</t>
  </si>
  <si>
    <t>Gaseous diluent added at a constant flow to a vented chamber</t>
  </si>
  <si>
    <t>Cn</t>
  </si>
  <si>
    <t>Conc after n cycles</t>
  </si>
  <si>
    <t>n</t>
  </si>
  <si>
    <t>Number of cycles</t>
  </si>
  <si>
    <t>Pa</t>
  </si>
  <si>
    <t>Pulsing pressure</t>
  </si>
  <si>
    <t>Pp</t>
  </si>
  <si>
    <t>Abs ambient pressure</t>
  </si>
  <si>
    <t xml:space="preserve">Gaseous diluent repeatedly added to reach set pressure in sealed chamber then vented. </t>
  </si>
  <si>
    <t>psia</t>
  </si>
  <si>
    <t>psig</t>
  </si>
  <si>
    <t>V</t>
  </si>
  <si>
    <t>Liters</t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</si>
  <si>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t</t>
    </r>
  </si>
  <si>
    <r>
      <t>V</t>
    </r>
    <r>
      <rPr>
        <b/>
        <i/>
        <vertAlign val="subscript"/>
        <sz val="11"/>
        <color theme="1"/>
        <rFont val="Calibri"/>
        <family val="2"/>
        <scheme val="minor"/>
      </rPr>
      <t>t</t>
    </r>
  </si>
  <si>
    <t>Conc at time t</t>
  </si>
  <si>
    <t>(Pa+Pp)/Pa</t>
  </si>
  <si>
    <t>EXAMPLE CALCULATION</t>
  </si>
  <si>
    <t>t, min</t>
  </si>
  <si>
    <t>Ct, % v/v</t>
  </si>
  <si>
    <t>Vt, L</t>
  </si>
  <si>
    <t>Edit the cells in yellow only</t>
  </si>
  <si>
    <t>Vn, L</t>
  </si>
  <si>
    <t>Cn, % v/v</t>
  </si>
  <si>
    <t>Working value</t>
  </si>
  <si>
    <t>Vn</t>
  </si>
  <si>
    <t>FUNCTIONS</t>
  </si>
  <si>
    <t>Andy Tipler - 3/11/2023</t>
  </si>
  <si>
    <t>Vt</t>
  </si>
  <si>
    <t>Volume CO2 used at time t</t>
  </si>
  <si>
    <t>Volume CO2 used after n cycles</t>
  </si>
  <si>
    <t>% v/v</t>
  </si>
  <si>
    <t xml:space="preserve">Conc ethanol </t>
  </si>
  <si>
    <t>g/mL</t>
  </si>
  <si>
    <t>Density ethanol</t>
  </si>
  <si>
    <t>%w/v</t>
  </si>
  <si>
    <t>Conc ethanol</t>
  </si>
  <si>
    <t>Wt ethanol</t>
  </si>
  <si>
    <t>mol</t>
  </si>
  <si>
    <t>Volumes CO2</t>
  </si>
  <si>
    <t>Volume at STP</t>
  </si>
  <si>
    <t>Moles CO2 in liquid</t>
  </si>
  <si>
    <t>Calculate the CO2 'Volumes' in the liquid</t>
  </si>
  <si>
    <t>Partial Press inside Keg</t>
  </si>
  <si>
    <t>% of total CO2 added</t>
  </si>
  <si>
    <t>Vol at STP</t>
  </si>
  <si>
    <t>Convert this to volume and pressure</t>
  </si>
  <si>
    <t>mol/liter</t>
  </si>
  <si>
    <t>cg under applied conditions</t>
  </si>
  <si>
    <t>Gas, Vg</t>
  </si>
  <si>
    <t>liters</t>
  </si>
  <si>
    <t>Liquid, Vaq</t>
  </si>
  <si>
    <t>g</t>
  </si>
  <si>
    <t>Wt CO2</t>
  </si>
  <si>
    <t>Moles CO2</t>
  </si>
  <si>
    <t>Maltose</t>
  </si>
  <si>
    <t>Glucose</t>
  </si>
  <si>
    <t>Moles of sugar</t>
  </si>
  <si>
    <t>Sucrose</t>
  </si>
  <si>
    <t>Name</t>
  </si>
  <si>
    <t>Weight of sugar</t>
  </si>
  <si>
    <t>Sugars</t>
  </si>
  <si>
    <t>Caq/Cg</t>
  </si>
  <si>
    <t>kHcc for CO2</t>
  </si>
  <si>
    <t>K</t>
  </si>
  <si>
    <t>°C</t>
  </si>
  <si>
    <r>
      <t>T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:</t>
    </r>
  </si>
  <si>
    <t>T:</t>
  </si>
  <si>
    <t>C:</t>
  </si>
  <si>
    <t>Note the inverted exponential term for these Henrys Law units</t>
  </si>
  <si>
    <t>Concentration in gas (mol/L)</t>
  </si>
  <si>
    <r>
      <t>c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:</t>
    </r>
  </si>
  <si>
    <t>Concentration in aqueous solution (mol/L)</t>
  </si>
  <si>
    <r>
      <t>c</t>
    </r>
    <r>
      <rPr>
        <vertAlign val="subscript"/>
        <sz val="11"/>
        <color theme="1"/>
        <rFont val="Calibri"/>
        <family val="2"/>
        <scheme val="minor"/>
      </rPr>
      <t>aq</t>
    </r>
    <r>
      <rPr>
        <sz val="11"/>
        <color theme="1"/>
        <rFont val="Calibri"/>
        <family val="2"/>
        <scheme val="minor"/>
      </rPr>
      <t>:</t>
    </r>
  </si>
  <si>
    <r>
      <t>k</t>
    </r>
    <r>
      <rPr>
        <vertAlign val="subscript"/>
        <sz val="11"/>
        <color theme="1"/>
        <rFont val="Calibri"/>
        <family val="2"/>
        <scheme val="minor"/>
      </rPr>
      <t>H,cc</t>
    </r>
    <r>
      <rPr>
        <sz val="11"/>
        <color theme="1"/>
        <rFont val="Calibri"/>
        <family val="2"/>
        <scheme val="minor"/>
      </rPr>
      <t>:</t>
    </r>
  </si>
  <si>
    <t xml:space="preserve">From:  https://www.tau.ac.il/~tsirel/dump/Static/knowino.org/wiki/Henry%27s_law.html#:~:text=carbon%20dioxide%20(CO2)%20%3A%2029.4%20L%C2%B7atm%2Fmol </t>
  </si>
  <si>
    <t>Andy Tipler 11/30/2022</t>
  </si>
  <si>
    <t xml:space="preserve">One form of Henrys Law </t>
  </si>
  <si>
    <t>Henry's Law Constant (choose from table)</t>
  </si>
  <si>
    <t>Constant  (Choose from table on right)</t>
  </si>
  <si>
    <t>Stoichiometry Factor</t>
  </si>
  <si>
    <t>Stoichiometry factor for CO2 (from table on right)</t>
  </si>
  <si>
    <t>kH0 for CO2 (from first table)</t>
  </si>
  <si>
    <t>C for CO2 (from second table)</t>
  </si>
  <si>
    <t>T0, (from first table)</t>
  </si>
  <si>
    <t>First calculate kHcc at a given temperature</t>
  </si>
  <si>
    <t>Total moles CO2 in headspace</t>
  </si>
  <si>
    <t>Calculate weight , volume, and moles of CO2 generated from fermentation</t>
  </si>
  <si>
    <t>Moles ethanol (same as CO2. Assume none in gas phase)</t>
  </si>
  <si>
    <t>Molar Mass ethanol</t>
  </si>
  <si>
    <t>Molar Mass CO2</t>
  </si>
  <si>
    <t>MM, g</t>
  </si>
  <si>
    <t>MM of sugar (from table on right)</t>
  </si>
  <si>
    <t>Calculating potential carbonation level from amount of sugar added.</t>
  </si>
  <si>
    <t>Volume CO2 at STP</t>
  </si>
  <si>
    <t>Total vol of keg</t>
  </si>
  <si>
    <t>Using Henry's Law to Calculated Beer Carbonation Level From Amount of Priming Sugar Added</t>
  </si>
  <si>
    <t>T</t>
  </si>
  <si>
    <t>Tabs</t>
  </si>
  <si>
    <t>Ref temp (Choose from first table)</t>
  </si>
  <si>
    <t>Abs Temperature of beer</t>
  </si>
  <si>
    <t>Bonus - we can also calculate ethanol ABV from moles CO2.</t>
  </si>
  <si>
    <t>Calculating the distribution of CO2 between liquid and gas in a sealed vessel.</t>
  </si>
  <si>
    <t>Using Henry's Law to Calculate CO2 Distribution in Beer</t>
  </si>
  <si>
    <t>Andy Tipler 12/01/2022</t>
  </si>
  <si>
    <t>Results in light blue cells</t>
  </si>
  <si>
    <t>Volume CO2 added at STP</t>
  </si>
  <si>
    <t>Total Moles CO2</t>
  </si>
  <si>
    <t>Calculate CO2 in headspace</t>
  </si>
  <si>
    <t>Conc CO2 in headspace cg under applied conditions</t>
  </si>
  <si>
    <t>Keg details</t>
  </si>
  <si>
    <t>Amount CO2 added</t>
  </si>
  <si>
    <t>psi</t>
  </si>
  <si>
    <t>This is the increase in pressure inside keg</t>
  </si>
  <si>
    <t>This is the increase in the volumes value (need to add residual conc of CO2 in the beer)</t>
  </si>
  <si>
    <t>Assumes air was first purged from keg</t>
  </si>
  <si>
    <t>C for O2 (from second table)</t>
  </si>
  <si>
    <t>kH0 for O2 (from first table)</t>
  </si>
  <si>
    <t>kHcc for O2</t>
  </si>
  <si>
    <t>Conc O2 in gas</t>
  </si>
  <si>
    <t>ppm v/v</t>
  </si>
  <si>
    <t>Volume gas added at STP</t>
  </si>
  <si>
    <t>If gas is air, conc = 20.9% v/v equiv to 209,000 ppm v/v</t>
  </si>
  <si>
    <t>Calculate O2 in headspace</t>
  </si>
  <si>
    <t>Conc O2 in headspace cg under applied conditions</t>
  </si>
  <si>
    <t>Total moles O2 in headspace</t>
  </si>
  <si>
    <t>Amount O2 added</t>
  </si>
  <si>
    <t>Total Moles O2</t>
  </si>
  <si>
    <t>Conc O2 in beer</t>
  </si>
  <si>
    <t>Calculate the O2 concentration in beer</t>
  </si>
  <si>
    <t>Molar Mass O2</t>
  </si>
  <si>
    <t>Weight O2</t>
  </si>
  <si>
    <t>g/liter</t>
  </si>
  <si>
    <t>ppb w/v</t>
  </si>
  <si>
    <t>Need to get this below 100ppb</t>
  </si>
  <si>
    <t>Using Henry's Law to Calculate Residual Concentration of O2 in Beer</t>
  </si>
  <si>
    <t>Calculating the concentration of O2 in from exposure to O2 in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</si>
</sst>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0.0000"/>
    <numFmt numFmtId="166" formatCode="0.0000E+00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2" fontId="0" fillId="0" borderId="0" xfId="0" applyNumberFormat="1"/>
    <xf numFmtId="0" fontId="0" fillId="2" borderId="1" xfId="0" applyFill="1" applyBorder="1"/>
    <xf numFmtId="164" fontId="0" fillId="2" borderId="1" xfId="0" applyNumberFormat="1" applyFill="1" applyBorder="1"/>
    <xf numFmtId="0" fontId="4" fillId="0" borderId="0" xfId="0" applyFont="1"/>
    <xf numFmtId="165" fontId="0" fillId="0" borderId="0" xfId="0" applyNumberFormat="1"/>
    <xf numFmtId="165" fontId="0" fillId="2" borderId="1" xfId="0" applyNumberFormat="1" applyFill="1" applyBorder="1"/>
    <xf numFmtId="2" fontId="0" fillId="2" borderId="1" xfId="0" applyNumberFormat="1" applyFill="1" applyBorder="1"/>
    <xf numFmtId="2" fontId="0" fillId="3" borderId="1" xfId="0" applyNumberFormat="1" applyFill="1" applyBorder="1"/>
    <xf numFmtId="0" fontId="0" fillId="3" borderId="1" xfId="0" applyFill="1" applyBorder="1"/>
    <xf numFmtId="0" fontId="6" fillId="0" borderId="0" xfId="0" applyFont="1"/>
    <xf numFmtId="166" fontId="0" fillId="0" borderId="0" xfId="0" applyNumberForma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64AE4AC0-E611-49C8-8126-09C8D53EBD2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Using 76.4 L/min CO2 to Purge Oxygen From Keg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'Exp Dil'!$A$28:$A$48</c:f>
              <c:numCache>
                <c:formatCode>0.0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'Exp Dil'!$C$28:$C$48</c:f>
              <c:numCache>
                <c:formatCode>0.00</c:formatCode>
                <c:ptCount val="21"/>
                <c:pt idx="0">
                  <c:v>20.9</c:v>
                </c:pt>
                <c:pt idx="1">
                  <c:v>14.155065266077116</c:v>
                </c:pt>
                <c:pt idx="2">
                  <c:v>9.586883860617359</c:v>
                </c:pt>
                <c:pt idx="3">
                  <c:v>6.4929649160449809</c:v>
                </c:pt>
                <c:pt idx="4">
                  <c:v>4.3975283328691681</c:v>
                </c:pt>
                <c:pt idx="5">
                  <c:v>2.9783397397696834</c:v>
                </c:pt>
                <c:pt idx="6">
                  <c:v>2.0171575789947851</c:v>
                </c:pt>
                <c:pt idx="7">
                  <c:v>1.3661721140015928</c:v>
                </c:pt>
                <c:pt idx="8">
                  <c:v>0.92527537982713326</c:v>
                </c:pt>
                <c:pt idx="9">
                  <c:v>0.62666666940418025</c:v>
                </c:pt>
                <c:pt idx="10">
                  <c:v>0.42442620121968155</c:v>
                </c:pt>
                <c:pt idx="11">
                  <c:v>0.28745361621520438</c:v>
                </c:pt>
                <c:pt idx="12">
                  <c:v>0.19468539227254075</c:v>
                </c:pt>
                <c:pt idx="13">
                  <c:v>0.13185571454400191</c:v>
                </c:pt>
                <c:pt idx="14">
                  <c:v>8.9302691151941685E-2</c:v>
                </c:pt>
                <c:pt idx="15">
                  <c:v>6.0482556061821152E-2</c:v>
                </c:pt>
                <c:pt idx="16">
                  <c:v>4.0963374570059614E-2</c:v>
                </c:pt>
                <c:pt idx="17">
                  <c:v>2.7743504332916651E-2</c:v>
                </c:pt>
                <c:pt idx="18">
                  <c:v>1.8790005480484602E-2</c:v>
                </c:pt>
                <c:pt idx="19">
                  <c:v>1.2726016934268253E-2</c:v>
                </c:pt>
                <c:pt idx="20">
                  <c:v>8.6190239369267757E-3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FC-4B0A-87CC-EE7B18318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745775"/>
        <c:axId val="439598911"/>
      </c:scatterChart>
      <c:valAx>
        <c:axId val="541745775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US"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598911"/>
        <c:crosses val="autoZero"/>
        <c:crossBetween val="midCat"/>
      </c:valAx>
      <c:valAx>
        <c:axId val="439598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Predicted Oxygen (% v/v)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7457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Using 76.4 L/min CO2 to Purge Oxygen From Keg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'Exp Dil'!$B$28:$B$48</c:f>
              <c:numCache>
                <c:formatCode>0.00</c:formatCode>
                <c:ptCount val="21"/>
                <c:pt idx="0">
                  <c:v>0</c:v>
                </c:pt>
                <c:pt idx="1">
                  <c:v>7.6400000000000006</c:v>
                </c:pt>
                <c:pt idx="2">
                  <c:v>15.280000000000001</c:v>
                </c:pt>
                <c:pt idx="3">
                  <c:v>22.92</c:v>
                </c:pt>
                <c:pt idx="4">
                  <c:v>30.560000000000002</c:v>
                </c:pt>
                <c:pt idx="5">
                  <c:v>38.200000000000003</c:v>
                </c:pt>
                <c:pt idx="6">
                  <c:v>45.84</c:v>
                </c:pt>
                <c:pt idx="7">
                  <c:v>53.480000000000004</c:v>
                </c:pt>
                <c:pt idx="8">
                  <c:v>61.120000000000005</c:v>
                </c:pt>
                <c:pt idx="9">
                  <c:v>68.760000000000005</c:v>
                </c:pt>
                <c:pt idx="10">
                  <c:v>76.400000000000006</c:v>
                </c:pt>
                <c:pt idx="11">
                  <c:v>84.04</c:v>
                </c:pt>
                <c:pt idx="12">
                  <c:v>91.68</c:v>
                </c:pt>
                <c:pt idx="13">
                  <c:v>99.320000000000007</c:v>
                </c:pt>
                <c:pt idx="14">
                  <c:v>106.96000000000001</c:v>
                </c:pt>
                <c:pt idx="15">
                  <c:v>114.60000000000001</c:v>
                </c:pt>
                <c:pt idx="16">
                  <c:v>122.24000000000001</c:v>
                </c:pt>
                <c:pt idx="17">
                  <c:v>129.88</c:v>
                </c:pt>
                <c:pt idx="18">
                  <c:v>137.52000000000001</c:v>
                </c:pt>
                <c:pt idx="19">
                  <c:v>145.16</c:v>
                </c:pt>
                <c:pt idx="20">
                  <c:v>152.80000000000001</c:v>
                </c:pt>
              </c:numCache>
            </c:numRef>
          </c:xVal>
          <c:yVal>
            <c:numRef>
              <c:f>'Exp Dil'!$C$28:$C$48</c:f>
              <c:numCache>
                <c:formatCode>0.00</c:formatCode>
                <c:ptCount val="21"/>
                <c:pt idx="0">
                  <c:v>20.9</c:v>
                </c:pt>
                <c:pt idx="1">
                  <c:v>14.155065266077116</c:v>
                </c:pt>
                <c:pt idx="2">
                  <c:v>9.586883860617359</c:v>
                </c:pt>
                <c:pt idx="3">
                  <c:v>6.4929649160449809</c:v>
                </c:pt>
                <c:pt idx="4">
                  <c:v>4.3975283328691681</c:v>
                </c:pt>
                <c:pt idx="5">
                  <c:v>2.9783397397696834</c:v>
                </c:pt>
                <c:pt idx="6">
                  <c:v>2.0171575789947851</c:v>
                </c:pt>
                <c:pt idx="7">
                  <c:v>1.3661721140015928</c:v>
                </c:pt>
                <c:pt idx="8">
                  <c:v>0.92527537982713326</c:v>
                </c:pt>
                <c:pt idx="9">
                  <c:v>0.62666666940418025</c:v>
                </c:pt>
                <c:pt idx="10">
                  <c:v>0.42442620121968155</c:v>
                </c:pt>
                <c:pt idx="11">
                  <c:v>0.28745361621520438</c:v>
                </c:pt>
                <c:pt idx="12">
                  <c:v>0.19468539227254075</c:v>
                </c:pt>
                <c:pt idx="13">
                  <c:v>0.13185571454400191</c:v>
                </c:pt>
                <c:pt idx="14">
                  <c:v>8.9302691151941685E-2</c:v>
                </c:pt>
                <c:pt idx="15">
                  <c:v>6.0482556061821152E-2</c:v>
                </c:pt>
                <c:pt idx="16">
                  <c:v>4.0963374570059614E-2</c:v>
                </c:pt>
                <c:pt idx="17">
                  <c:v>2.7743504332916651E-2</c:v>
                </c:pt>
                <c:pt idx="18">
                  <c:v>1.8790005480484602E-2</c:v>
                </c:pt>
                <c:pt idx="19">
                  <c:v>1.2726016934268253E-2</c:v>
                </c:pt>
                <c:pt idx="20">
                  <c:v>8.6190239369267757E-3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96-4FBB-A6D2-4EDB05EE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745775"/>
        <c:axId val="439598911"/>
      </c:scatterChart>
      <c:valAx>
        <c:axId val="541745775"/>
        <c:scaling>
          <c:orientation val="minMax"/>
          <c:max val="152.8000000000000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Volume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en-US"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598911"/>
        <c:crosses val="autoZero"/>
        <c:crossBetween val="midCat"/>
      </c:valAx>
      <c:valAx>
        <c:axId val="439598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Predicted Oxygen (% v/v)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7457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Using 30psi CO</a:t>
            </a:r>
            <a:r>
              <a:rPr lang="en-US" sz="1400" b="1" i="0" baseline="-25000">
                <a:effectLst/>
              </a:rPr>
              <a:t>2</a:t>
            </a:r>
            <a:r>
              <a:rPr lang="en-US" sz="1400" b="1" i="0" baseline="0">
                <a:effectLst/>
              </a:rPr>
              <a:t> Pulses to Purge Oxygen From 19L Keg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'Pulsed Dil'!$A$32:$A$38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'Pulsed Dil'!$C$32:$C$38</c:f>
              <c:numCache>
                <c:formatCode>0.00</c:formatCode>
                <c:ptCount val="7"/>
                <c:pt idx="0">
                  <c:v>20.9</c:v>
                </c:pt>
                <c:pt idx="1">
                  <c:v>6.9044642857142859</c:v>
                </c:pt>
                <c:pt idx="2">
                  <c:v>2.2809390943877554</c:v>
                </c:pt>
                <c:pt idx="3">
                  <c:v>0.75352452225309796</c:v>
                </c:pt>
                <c:pt idx="4">
                  <c:v>0.24893220824432702</c:v>
                </c:pt>
                <c:pt idx="5">
                  <c:v>8.2236533080715185E-2</c:v>
                </c:pt>
                <c:pt idx="6">
                  <c:v>2.7167426107021983E-2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2A-42BB-B762-1C31A3614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498815"/>
        <c:axId val="369963247"/>
      </c:scatterChart>
      <c:valAx>
        <c:axId val="567498815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Number of Pulses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963247"/>
        <c:crosses val="autoZero"/>
        <c:crossBetween val="midCat"/>
        <c:majorUnit val="1"/>
      </c:valAx>
      <c:valAx>
        <c:axId val="36996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Predicted Oxygen (% v/v)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US"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498815"/>
        <c:crosses val="autoZero"/>
        <c:crossBetween val="midCat"/>
      </c:valAx>
      <c:spPr>
        <a:noFill/>
        <a:ln>
          <a:solidFill>
            <a:schemeClr val="bg2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Using 30psi CO</a:t>
            </a:r>
            <a:r>
              <a:rPr lang="en-US" sz="1400" b="1" i="0" baseline="-25000">
                <a:effectLst/>
              </a:rPr>
              <a:t>2</a:t>
            </a:r>
            <a:r>
              <a:rPr lang="en-US" sz="1400" b="1" i="0" baseline="0">
                <a:effectLst/>
              </a:rPr>
              <a:t> Pulses to Purge Oxygen From 19L Keg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'Pulsed Dil'!$B$32:$B$38</c:f>
              <c:numCache>
                <c:formatCode>0.00</c:formatCode>
                <c:ptCount val="7"/>
                <c:pt idx="0">
                  <c:v>0</c:v>
                </c:pt>
                <c:pt idx="1">
                  <c:v>39.741891891891889</c:v>
                </c:pt>
                <c:pt idx="2">
                  <c:v>79.483783783783778</c:v>
                </c:pt>
                <c:pt idx="3">
                  <c:v>119.22567567567567</c:v>
                </c:pt>
                <c:pt idx="4">
                  <c:v>158.96756756756756</c:v>
                </c:pt>
                <c:pt idx="5">
                  <c:v>198.70945945945942</c:v>
                </c:pt>
                <c:pt idx="6">
                  <c:v>238.45135135135135</c:v>
                </c:pt>
              </c:numCache>
            </c:numRef>
          </c:xVal>
          <c:yVal>
            <c:numRef>
              <c:f>'Pulsed Dil'!$C$32:$C$38</c:f>
              <c:numCache>
                <c:formatCode>0.00</c:formatCode>
                <c:ptCount val="7"/>
                <c:pt idx="0">
                  <c:v>20.9</c:v>
                </c:pt>
                <c:pt idx="1">
                  <c:v>6.9044642857142859</c:v>
                </c:pt>
                <c:pt idx="2">
                  <c:v>2.2809390943877554</c:v>
                </c:pt>
                <c:pt idx="3">
                  <c:v>0.75352452225309796</c:v>
                </c:pt>
                <c:pt idx="4">
                  <c:v>0.24893220824432702</c:v>
                </c:pt>
                <c:pt idx="5">
                  <c:v>8.2236533080715185E-2</c:v>
                </c:pt>
                <c:pt idx="6">
                  <c:v>2.7167426107021983E-2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D8-4528-8D91-F87D8762E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498815"/>
        <c:axId val="369963247"/>
      </c:scatterChart>
      <c:valAx>
        <c:axId val="567498815"/>
        <c:scaling>
          <c:orientation val="minMax"/>
          <c:max val="24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Volume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963247"/>
        <c:crosses val="autoZero"/>
        <c:crossBetween val="midCat"/>
        <c:majorUnit val="50"/>
      </c:valAx>
      <c:valAx>
        <c:axId val="36996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Predicted Oxygen (% v/v)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n-US"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498815"/>
        <c:crosses val="autoZero"/>
        <c:crossBetween val="midCat"/>
      </c:valAx>
      <c:spPr>
        <a:noFill/>
        <a:ln>
          <a:solidFill>
            <a:schemeClr val="bg2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4</xdr:row>
      <xdr:rowOff>85722</xdr:rowOff>
    </xdr:from>
    <xdr:ext cx="9458325" cy="42386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DFDE48-A593-11A5-8366-4E3BC963A18F}"/>
            </a:ext>
          </a:extLst>
        </xdr:cNvPr>
        <xdr:cNvSpPr txBox="1"/>
      </xdr:nvSpPr>
      <xdr:spPr>
        <a:xfrm>
          <a:off x="1000125" y="847722"/>
          <a:ext cx="9458325" cy="423862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1100"/>
        </a:p>
        <a:p>
          <a:r>
            <a:rPr lang="en-US" sz="1100"/>
            <a:t>This</a:t>
          </a:r>
          <a:r>
            <a:rPr lang="en-US" sz="1100" baseline="0"/>
            <a:t> Excel Workbook was developed to aid the authors of the July/August 2023 edition of Zymurgy for an Article entitled "Carbon Captured".</a:t>
          </a:r>
        </a:p>
        <a:p>
          <a:endParaRPr lang="en-US" sz="1100" baseline="0"/>
        </a:p>
        <a:p>
          <a:r>
            <a:rPr lang="en-US" sz="1100" baseline="0"/>
            <a:t>It was intended to help with the data processing used in the article. </a:t>
          </a:r>
        </a:p>
        <a:p>
          <a:endParaRPr lang="en-US" sz="1100" baseline="0"/>
        </a:p>
        <a:p>
          <a:pPr eaLnBrk="1" fontAlgn="auto" latinLnBrk="0" hangingPunct="1"/>
          <a:r>
            <a:rPr lang="en-US" sz="1100" baseline="0"/>
            <a:t>It's not a commercial product and is not supported.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Feel free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modify any of these Worksheets but if you break anything - please don't blame me!</a:t>
          </a:r>
          <a:endParaRPr lang="en-US" sz="1100" baseline="0"/>
        </a:p>
        <a:p>
          <a:endParaRPr lang="en-US" sz="1100" baseline="0"/>
        </a:p>
        <a:p>
          <a:r>
            <a:rPr lang="en-US" sz="1100" baseline="0"/>
            <a:t>There are 5 Worksheets in the is file and are used as follows:</a:t>
          </a:r>
        </a:p>
        <a:p>
          <a:endParaRPr lang="en-US" sz="110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Exp Dil -  Models the exponential dilution process. Used to evaluate how the oxygen level in a vented vessel drops as CO2 flows into the vessel.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Pulsed Dil -  Models the incremental dilution process. Used to evaluate how the oxygen level in a vented vessel drops as CO2 is pressure-pulsed into the vessel.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CO2 Sugar Priming - Calculates carbonation level from amount of priming sugar added.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CO2 Distribution - Calculates carbonation volumes from added CO2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O2 Distribution - Calculates residual O2 in beer from added O2 in a gas (e.g. air)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 macros are used in these calculations. There's no fancy interface or entry checking - just plain simple Excel.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Only edit the cells in yellow.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Send feedback and questions to me at info@cheapskatehomebrewer.com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effectLst/>
            </a:rPr>
            <a:t>Good luck with modeling :)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effectLst/>
            </a:rPr>
            <a:t>Andy Tipler 07/01/2023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10</xdr:row>
      <xdr:rowOff>180974</xdr:rowOff>
    </xdr:from>
    <xdr:ext cx="1352550" cy="3223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F50179A-12C8-4A40-2800-F0418EBB1CEF}"/>
                </a:ext>
              </a:extLst>
            </xdr:cNvPr>
            <xdr:cNvSpPr txBox="1"/>
          </xdr:nvSpPr>
          <xdr:spPr>
            <a:xfrm>
              <a:off x="238125" y="1428749"/>
              <a:ext cx="1352550" cy="322332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𝑪</m:t>
                        </m:r>
                      </m:e>
                      <m:sub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𝒕</m:t>
                        </m:r>
                      </m:sub>
                    </m:sSub>
                    <m:r>
                      <a:rPr lang="en-US" sz="1400" b="1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𝑪</m:t>
                        </m:r>
                      </m:e>
                      <m:sub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𝟎</m:t>
                        </m:r>
                      </m:sub>
                    </m:sSub>
                    <m:r>
                      <a:rPr lang="en-US" sz="14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p>
                      <m:sSupPr>
                        <m:ctrlPr>
                          <a:rPr lang="en-US" sz="14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𝒆</m:t>
                        </m:r>
                      </m:e>
                      <m:sup>
                        <m:d>
                          <m:dPr>
                            <m:ctrlPr>
                              <a:rPr lang="en-US" sz="1400" b="1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b="1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400" b="1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a:rPr lang="en-US" sz="1400" b="1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𝒖</m:t>
                                </m:r>
                                <m:r>
                                  <a:rPr lang="en-US" sz="1400" b="1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∙</m:t>
                                </m:r>
                                <m:r>
                                  <a:rPr lang="en-US" sz="1400" b="1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𝒕</m:t>
                                </m:r>
                              </m:num>
                              <m:den>
                                <m:r>
                                  <a:rPr lang="en-US" sz="1400" b="1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𝒗</m:t>
                                </m:r>
                              </m:den>
                            </m:f>
                          </m:e>
                        </m:d>
                      </m:sup>
                    </m:sSup>
                  </m:oMath>
                </m:oMathPara>
              </a14:m>
              <a:endParaRPr lang="en-US" sz="14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F50179A-12C8-4A40-2800-F0418EBB1CEF}"/>
                </a:ext>
              </a:extLst>
            </xdr:cNvPr>
            <xdr:cNvSpPr txBox="1"/>
          </xdr:nvSpPr>
          <xdr:spPr>
            <a:xfrm>
              <a:off x="238125" y="1428749"/>
              <a:ext cx="1352550" cy="322332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400" b="1" i="0">
                  <a:latin typeface="Cambria Math" panose="02040503050406030204" pitchFamily="18" charset="0"/>
                </a:rPr>
                <a:t>𝑪_𝒕=𝑪_𝟎</a:t>
              </a:r>
              <a:r>
                <a:rPr lang="en-US" sz="14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∙𝒆^(((−𝒖∙𝒕)/𝒗) )</a:t>
              </a:r>
              <a:endParaRPr lang="en-US" sz="1400" b="1"/>
            </a:p>
          </xdr:txBody>
        </xdr:sp>
      </mc:Fallback>
    </mc:AlternateContent>
    <xdr:clientData/>
  </xdr:oneCellAnchor>
  <xdr:twoCellAnchor>
    <xdr:from>
      <xdr:col>4</xdr:col>
      <xdr:colOff>585787</xdr:colOff>
      <xdr:row>26</xdr:row>
      <xdr:rowOff>157161</xdr:rowOff>
    </xdr:from>
    <xdr:to>
      <xdr:col>13</xdr:col>
      <xdr:colOff>585787</xdr:colOff>
      <xdr:row>48</xdr:row>
      <xdr:rowOff>80961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25D0FF-73E7-A50A-EAA6-C964ABCE0B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50</xdr:row>
      <xdr:rowOff>0</xdr:rowOff>
    </xdr:from>
    <xdr:to>
      <xdr:col>14</xdr:col>
      <xdr:colOff>0</xdr:colOff>
      <xdr:row>71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546810F-83A9-4440-9492-9EED21762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0</xdr:colOff>
      <xdr:row>11</xdr:row>
      <xdr:rowOff>76200</xdr:rowOff>
    </xdr:from>
    <xdr:ext cx="676275" cy="210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1BA63A2-0CD3-4D11-9553-A7B493487F26}"/>
                </a:ext>
              </a:extLst>
            </xdr:cNvPr>
            <xdr:cNvSpPr txBox="1"/>
          </xdr:nvSpPr>
          <xdr:spPr>
            <a:xfrm>
              <a:off x="1866900" y="1514475"/>
              <a:ext cx="676275" cy="210507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𝑽</m:t>
                        </m:r>
                      </m:e>
                      <m:sub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𝒕</m:t>
                        </m:r>
                      </m:sub>
                    </m:sSub>
                    <m:r>
                      <a:rPr lang="en-US" sz="1400" b="1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𝒖</m:t>
                    </m:r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r>
                      <a:rPr lang="en-U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𝒕</m:t>
                    </m:r>
                  </m:oMath>
                </m:oMathPara>
              </a14:m>
              <a:endParaRPr lang="en-US" sz="1400" b="1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1BA63A2-0CD3-4D11-9553-A7B493487F26}"/>
                </a:ext>
              </a:extLst>
            </xdr:cNvPr>
            <xdr:cNvSpPr txBox="1"/>
          </xdr:nvSpPr>
          <xdr:spPr>
            <a:xfrm>
              <a:off x="1866900" y="1514475"/>
              <a:ext cx="676275" cy="210507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400" b="1" i="0">
                  <a:latin typeface="Cambria Math" panose="02040503050406030204" pitchFamily="18" charset="0"/>
                </a:rPr>
                <a:t>𝑽_𝒕=</a:t>
              </a:r>
              <a:r>
                <a:rPr lang="en-U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𝒖∙𝒕</a:t>
              </a:r>
              <a:endParaRPr lang="en-US" sz="1400" b="1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171449</xdr:colOff>
      <xdr:row>11</xdr:row>
      <xdr:rowOff>180975</xdr:rowOff>
    </xdr:from>
    <xdr:ext cx="2114551" cy="5148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94196B6-4023-4833-A10E-114D80E66113}"/>
                </a:ext>
              </a:extLst>
            </xdr:cNvPr>
            <xdr:cNvSpPr txBox="1"/>
          </xdr:nvSpPr>
          <xdr:spPr>
            <a:xfrm>
              <a:off x="171449" y="1428750"/>
              <a:ext cx="2114551" cy="514821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𝑪</m:t>
                        </m:r>
                      </m:e>
                      <m:sub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𝒏</m:t>
                        </m:r>
                      </m:sub>
                    </m:sSub>
                    <m:r>
                      <a:rPr lang="en-US" sz="1400" b="1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𝑪</m:t>
                        </m:r>
                      </m:e>
                      <m:sub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𝟎</m:t>
                        </m:r>
                      </m:sub>
                    </m:sSub>
                    <m:r>
                      <a:rPr lang="en-US" sz="14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p>
                      <m:sSupPr>
                        <m:ctrlPr>
                          <a:rPr lang="en-US" sz="14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400" b="1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b="1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n-US" sz="1400" b="1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400" b="1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𝑷</m:t>
                                    </m:r>
                                  </m:e>
                                  <m:sub>
                                    <m:r>
                                      <a:rPr lang="en-US" sz="1400" b="1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𝒂</m:t>
                                    </m:r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b="1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400" b="1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𝑷</m:t>
                                    </m:r>
                                  </m:e>
                                  <m:sub>
                                    <m:r>
                                      <a:rPr lang="en-US" sz="1400" b="1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𝒑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  <m:sup>
                        <m:r>
                          <a:rPr lang="en-US" sz="14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𝒏</m:t>
                        </m:r>
                      </m:sup>
                    </m:sSup>
                  </m:oMath>
                </m:oMathPara>
              </a14:m>
              <a:endParaRPr lang="en-US" sz="14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94196B6-4023-4833-A10E-114D80E66113}"/>
                </a:ext>
              </a:extLst>
            </xdr:cNvPr>
            <xdr:cNvSpPr txBox="1"/>
          </xdr:nvSpPr>
          <xdr:spPr>
            <a:xfrm>
              <a:off x="171449" y="1428750"/>
              <a:ext cx="2114551" cy="514821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400" b="1" i="0">
                  <a:latin typeface="Cambria Math" panose="02040503050406030204" pitchFamily="18" charset="0"/>
                </a:rPr>
                <a:t>𝑪_𝒏=𝑪_𝟎</a:t>
              </a:r>
              <a:r>
                <a:rPr lang="en-US" sz="14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∙(𝑷_𝒂/𝑷_𝒑 )^𝒏</a:t>
              </a:r>
              <a:endParaRPr lang="en-US" sz="1400" b="1"/>
            </a:p>
          </xdr:txBody>
        </xdr:sp>
      </mc:Fallback>
    </mc:AlternateContent>
    <xdr:clientData/>
  </xdr:oneCellAnchor>
  <xdr:twoCellAnchor>
    <xdr:from>
      <xdr:col>7</xdr:col>
      <xdr:colOff>4762</xdr:colOff>
      <xdr:row>30</xdr:row>
      <xdr:rowOff>0</xdr:rowOff>
    </xdr:from>
    <xdr:to>
      <xdr:col>16</xdr:col>
      <xdr:colOff>4762</xdr:colOff>
      <xdr:row>50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B28A892-ECD2-F040-0057-549DCF953D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314324</xdr:colOff>
      <xdr:row>12</xdr:row>
      <xdr:rowOff>0</xdr:rowOff>
    </xdr:from>
    <xdr:ext cx="1876425" cy="4840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769EA5C-DEE2-F39E-EF7F-CF16DE98C451}"/>
                </a:ext>
              </a:extLst>
            </xdr:cNvPr>
            <xdr:cNvSpPr txBox="1"/>
          </xdr:nvSpPr>
          <xdr:spPr>
            <a:xfrm>
              <a:off x="2486024" y="1438275"/>
              <a:ext cx="1876425" cy="484043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𝑽</m:t>
                        </m:r>
                      </m:e>
                      <m:sub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𝒏</m:t>
                        </m:r>
                      </m:sub>
                    </m:sSub>
                    <m:r>
                      <a:rPr lang="en-US" sz="1400" b="1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400" b="1" i="1">
                        <a:latin typeface="Cambria Math" panose="02040503050406030204" pitchFamily="18" charset="0"/>
                      </a:rPr>
                      <m:t>𝒏</m:t>
                    </m:r>
                    <m:r>
                      <a:rPr lang="en-US" sz="14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r>
                      <a:rPr lang="en-US" sz="14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𝒗</m:t>
                    </m:r>
                    <m:r>
                      <a:rPr lang="en-US" sz="14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d>
                      <m:dPr>
                        <m:ctrlPr>
                          <a:rPr lang="en-US" sz="14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400" b="1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1400" b="1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400" b="1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𝑷</m:t>
                                </m:r>
                              </m:e>
                              <m:sub>
                                <m:r>
                                  <a:rPr lang="en-US" sz="1400" b="1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𝒑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n-US" sz="1400" b="1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400" b="1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𝑷</m:t>
                                </m:r>
                              </m:e>
                              <m:sub>
                                <m:r>
                                  <a:rPr lang="en-US" sz="1400" b="1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𝒂</m:t>
                                </m:r>
                              </m:sub>
                            </m:sSub>
                          </m:den>
                        </m:f>
                        <m:r>
                          <a:rPr lang="en-US" sz="14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en-US" sz="14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𝟏</m:t>
                        </m:r>
                      </m:e>
                    </m:d>
                  </m:oMath>
                </m:oMathPara>
              </a14:m>
              <a:endParaRPr lang="en-US" sz="1400" b="1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769EA5C-DEE2-F39E-EF7F-CF16DE98C451}"/>
                </a:ext>
              </a:extLst>
            </xdr:cNvPr>
            <xdr:cNvSpPr txBox="1"/>
          </xdr:nvSpPr>
          <xdr:spPr>
            <a:xfrm>
              <a:off x="2486024" y="1438275"/>
              <a:ext cx="1876425" cy="484043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400" b="1" i="0">
                  <a:latin typeface="Cambria Math" panose="02040503050406030204" pitchFamily="18" charset="0"/>
                </a:rPr>
                <a:t>𝑽_𝒏=𝒏</a:t>
              </a:r>
              <a:r>
                <a:rPr lang="en-US" sz="14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∙𝒗∙(𝑷_𝒑/𝑷_𝒂 −𝟏)</a:t>
              </a:r>
              <a:endParaRPr lang="en-US" sz="1400" b="1"/>
            </a:p>
          </xdr:txBody>
        </xdr:sp>
      </mc:Fallback>
    </mc:AlternateContent>
    <xdr:clientData/>
  </xdr:oneCellAnchor>
  <xdr:twoCellAnchor>
    <xdr:from>
      <xdr:col>7</xdr:col>
      <xdr:colOff>0</xdr:colOff>
      <xdr:row>51</xdr:row>
      <xdr:rowOff>0</xdr:rowOff>
    </xdr:from>
    <xdr:to>
      <xdr:col>16</xdr:col>
      <xdr:colOff>0</xdr:colOff>
      <xdr:row>72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73027F-9D86-4F11-9B0B-705F63609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133206</xdr:colOff>
      <xdr:row>70</xdr:row>
      <xdr:rowOff>9744</xdr:rowOff>
    </xdr:from>
    <xdr:ext cx="1705980" cy="1833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C53A995-3BD7-4234-87EA-8DF4A4CB5D0C}"/>
                </a:ext>
              </a:extLst>
            </xdr:cNvPr>
            <xdr:cNvSpPr txBox="1"/>
          </xdr:nvSpPr>
          <xdr:spPr>
            <a:xfrm>
              <a:off x="133206" y="8963244"/>
              <a:ext cx="1705980" cy="183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𝑀𝑜𝑙𝑒𝑠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𝑎𝑞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𝑎𝑞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C53A995-3BD7-4234-87EA-8DF4A4CB5D0C}"/>
                </a:ext>
              </a:extLst>
            </xdr:cNvPr>
            <xdr:cNvSpPr txBox="1"/>
          </xdr:nvSpPr>
          <xdr:spPr>
            <a:xfrm>
              <a:off x="133206" y="8963244"/>
              <a:ext cx="1705980" cy="183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𝑀𝑜𝑙𝑒𝑠〗_𝑡=𝑐_𝑎𝑞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∙𝑉_𝑎𝑞+𝑐_𝑔∙𝑉_𝑔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106302</xdr:colOff>
      <xdr:row>13</xdr:row>
      <xdr:rowOff>133568</xdr:rowOff>
    </xdr:from>
    <xdr:ext cx="913070" cy="4440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8CC715B-0260-433B-ACE4-66FDC1396DE1}"/>
                </a:ext>
              </a:extLst>
            </xdr:cNvPr>
            <xdr:cNvSpPr txBox="1"/>
          </xdr:nvSpPr>
          <xdr:spPr>
            <a:xfrm>
              <a:off x="106302" y="4921581"/>
              <a:ext cx="913070" cy="4440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𝒌</m:t>
                        </m:r>
                      </m:e>
                      <m:sub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𝑯</m:t>
                        </m:r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𝒄𝒄</m:t>
                        </m:r>
                      </m:sub>
                    </m:sSub>
                    <m:r>
                      <a:rPr lang="en-US" sz="1400" b="1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4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400" b="1" i="1">
                                <a:latin typeface="Cambria Math" panose="02040503050406030204" pitchFamily="18" charset="0"/>
                              </a:rPr>
                              <m:t>𝒄</m:t>
                            </m:r>
                          </m:e>
                          <m:sub>
                            <m:r>
                              <a:rPr lang="en-US" sz="1400" b="1" i="1">
                                <a:latin typeface="Cambria Math" panose="02040503050406030204" pitchFamily="18" charset="0"/>
                              </a:rPr>
                              <m:t>𝒂𝒒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4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400" b="1" i="1">
                                <a:latin typeface="Cambria Math" panose="02040503050406030204" pitchFamily="18" charset="0"/>
                              </a:rPr>
                              <m:t>𝒄</m:t>
                            </m:r>
                          </m:e>
                          <m:sub>
                            <m:r>
                              <a:rPr lang="en-US" sz="1400" b="1" i="1">
                                <a:latin typeface="Cambria Math" panose="02040503050406030204" pitchFamily="18" charset="0"/>
                              </a:rPr>
                              <m:t>𝒈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400" b="1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8CC715B-0260-433B-ACE4-66FDC1396DE1}"/>
                </a:ext>
              </a:extLst>
            </xdr:cNvPr>
            <xdr:cNvSpPr txBox="1"/>
          </xdr:nvSpPr>
          <xdr:spPr>
            <a:xfrm>
              <a:off x="106302" y="4921581"/>
              <a:ext cx="913070" cy="4440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1" i="0">
                  <a:latin typeface="Cambria Math" panose="02040503050406030204" pitchFamily="18" charset="0"/>
                </a:rPr>
                <a:t>𝒌_(𝑯,𝒄𝒄)=𝒄_𝒂𝒒/𝒄_𝒈 </a:t>
              </a:r>
              <a:endParaRPr lang="en-US" sz="1400" b="1"/>
            </a:p>
          </xdr:txBody>
        </xdr:sp>
      </mc:Fallback>
    </mc:AlternateContent>
    <xdr:clientData/>
  </xdr:oneCellAnchor>
  <xdr:oneCellAnchor>
    <xdr:from>
      <xdr:col>0</xdr:col>
      <xdr:colOff>107029</xdr:colOff>
      <xdr:row>29</xdr:row>
      <xdr:rowOff>68035</xdr:rowOff>
    </xdr:from>
    <xdr:ext cx="2274221" cy="3599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1CA6BAE-79CA-4014-9745-3E05F83E442A}"/>
                </a:ext>
              </a:extLst>
            </xdr:cNvPr>
            <xdr:cNvSpPr txBox="1"/>
          </xdr:nvSpPr>
          <xdr:spPr>
            <a:xfrm>
              <a:off x="107029" y="7977187"/>
              <a:ext cx="2274221" cy="3599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e>
                      <m:sub>
                        <m:r>
                          <a:rPr lang="en-US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𝑯</m:t>
                        </m:r>
                        <m:r>
                          <a:rPr lang="en-US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</m:t>
                        </m:r>
                        <m:r>
                          <a:rPr lang="en-US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𝒄𝒄</m:t>
                        </m:r>
                      </m:sub>
                      <m:sup>
                        <m:r>
                          <a:rPr lang="en-US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𝑻</m:t>
                        </m:r>
                      </m:sup>
                    </m:sSubSup>
                    <m:r>
                      <a:rPr lang="en-US" sz="1400" b="1" i="1">
                        <a:latin typeface="Cambria Math" panose="02040503050406030204" pitchFamily="18" charset="0"/>
                      </a:rPr>
                      <m:t>=</m:t>
                    </m:r>
                    <m:sSubSup>
                      <m:sSubSup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𝒌</m:t>
                        </m:r>
                      </m:e>
                      <m:sub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𝑯</m:t>
                        </m:r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𝒄𝒄</m:t>
                        </m:r>
                      </m:sub>
                      <m:sup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𝟎</m:t>
                        </m:r>
                      </m:sup>
                    </m:sSubSup>
                    <m:r>
                      <a:rPr lang="en-US" sz="1400" b="1" i="1">
                        <a:latin typeface="Cambria Math" panose="02040503050406030204" pitchFamily="18" charset="0"/>
                      </a:rPr>
                      <m:t>/</m:t>
                    </m:r>
                    <m:sSup>
                      <m:sSupPr>
                        <m:ctrlPr>
                          <a:rPr lang="en-US" sz="14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𝒆</m:t>
                        </m:r>
                      </m:e>
                      <m:sup>
                        <m:d>
                          <m:dPr>
                            <m:begChr m:val="["/>
                            <m:endChr m:val="]"/>
                            <m:ctrlPr>
                              <a:rPr lang="en-US" sz="1400" b="1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400" b="1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400" b="1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𝑪</m:t>
                            </m:r>
                            <m:r>
                              <a:rPr lang="en-US" sz="1400" b="1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∙</m:t>
                            </m:r>
                            <m:d>
                              <m:dPr>
                                <m:ctrlPr>
                                  <a:rPr lang="en-US" sz="1400" b="1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400" b="1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400" b="1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𝟏</m:t>
                                    </m:r>
                                  </m:num>
                                  <m:den>
                                    <m:r>
                                      <a:rPr lang="en-US" sz="1400" b="1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𝑻</m:t>
                                    </m:r>
                                  </m:den>
                                </m:f>
                                <m:r>
                                  <a:rPr lang="en-US" sz="1400" b="1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−</m:t>
                                </m:r>
                                <m:f>
                                  <m:fPr>
                                    <m:ctrlPr>
                                      <a:rPr lang="en-US" sz="1400" b="1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400" b="1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𝟏</m:t>
                                    </m:r>
                                  </m:num>
                                  <m:den>
                                    <m:sSup>
                                      <m:sSupPr>
                                        <m:ctrlPr>
                                          <a:rPr lang="en-US" sz="1400" b="1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sSupPr>
                                      <m:e>
                                        <m:r>
                                          <a:rPr lang="en-US" sz="1400" b="1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𝑻</m:t>
                                        </m:r>
                                      </m:e>
                                      <m:sup>
                                        <m:r>
                                          <a:rPr lang="en-US" sz="1400" b="1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𝟎</m:t>
                                        </m:r>
                                      </m:sup>
                                    </m:sSup>
                                  </m:den>
                                </m:f>
                              </m:e>
                            </m:d>
                          </m:e>
                        </m:d>
                      </m:sup>
                    </m:sSup>
                  </m:oMath>
                </m:oMathPara>
              </a14:m>
              <a:endParaRPr lang="en-US" sz="1400" b="1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1CA6BAE-79CA-4014-9745-3E05F83E442A}"/>
                </a:ext>
              </a:extLst>
            </xdr:cNvPr>
            <xdr:cNvSpPr txBox="1"/>
          </xdr:nvSpPr>
          <xdr:spPr>
            <a:xfrm>
              <a:off x="107029" y="7977187"/>
              <a:ext cx="2274221" cy="3599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𝒌_(𝑯,𝒄𝒄)^𝑻</a:t>
              </a:r>
              <a:r>
                <a:rPr lang="en-US" sz="1400" b="1" i="0">
                  <a:latin typeface="Cambria Math" panose="02040503050406030204" pitchFamily="18" charset="0"/>
                </a:rPr>
                <a:t>=𝒌_(𝑯,𝒄𝒄)^𝟎/</a:t>
              </a:r>
              <a:r>
                <a:rPr lang="en-US" sz="14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𝒆^[−𝑪∙(𝟏/𝑻−𝟏/𝑻^𝟎 )] </a:t>
              </a:r>
              <a:endParaRPr lang="en-US" sz="1400" b="1"/>
            </a:p>
          </xdr:txBody>
        </xdr:sp>
      </mc:Fallback>
    </mc:AlternateContent>
    <xdr:clientData/>
  </xdr:oneCellAnchor>
  <xdr:oneCellAnchor>
    <xdr:from>
      <xdr:col>0</xdr:col>
      <xdr:colOff>128698</xdr:colOff>
      <xdr:row>72</xdr:row>
      <xdr:rowOff>16142</xdr:rowOff>
    </xdr:from>
    <xdr:ext cx="1970091" cy="1856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195AAE42-5331-43D1-9E3F-29070F3F1ABD}"/>
                </a:ext>
              </a:extLst>
            </xdr:cNvPr>
            <xdr:cNvSpPr txBox="1"/>
          </xdr:nvSpPr>
          <xdr:spPr>
            <a:xfrm>
              <a:off x="128698" y="9350642"/>
              <a:ext cx="1970091" cy="1856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𝑀𝑜𝑙𝑒𝑠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𝑐𝑐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∙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𝑔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𝑎𝑞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195AAE42-5331-43D1-9E3F-29070F3F1ABD}"/>
                </a:ext>
              </a:extLst>
            </xdr:cNvPr>
            <xdr:cNvSpPr txBox="1"/>
          </xdr:nvSpPr>
          <xdr:spPr>
            <a:xfrm>
              <a:off x="128698" y="9350642"/>
              <a:ext cx="1970091" cy="1856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𝑀𝑜𝑙𝑒𝑠〗_𝑡=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〖𝑘_(𝐻,𝑐𝑐)∙𝑐〗_𝑔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∙𝑉_𝑎𝑞+𝑐_𝑔∙𝑉_𝑔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140477</xdr:colOff>
      <xdr:row>73</xdr:row>
      <xdr:rowOff>181994</xdr:rowOff>
    </xdr:from>
    <xdr:ext cx="1327351" cy="3849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12D69D49-1AF7-466D-8180-64D0C2FF5AF9}"/>
                </a:ext>
              </a:extLst>
            </xdr:cNvPr>
            <xdr:cNvSpPr txBox="1"/>
          </xdr:nvSpPr>
          <xdr:spPr>
            <a:xfrm>
              <a:off x="140477" y="9706994"/>
              <a:ext cx="1327351" cy="3849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𝑔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𝑀𝑜𝑙𝑒𝑠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𝐻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,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𝑐𝑐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𝑎𝑞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𝑔</m:t>
                                </m:r>
                              </m:sub>
                            </m:sSub>
                          </m:e>
                        </m:d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12D69D49-1AF7-466D-8180-64D0C2FF5AF9}"/>
                </a:ext>
              </a:extLst>
            </xdr:cNvPr>
            <xdr:cNvSpPr txBox="1"/>
          </xdr:nvSpPr>
          <xdr:spPr>
            <a:xfrm>
              <a:off x="140477" y="9706994"/>
              <a:ext cx="1327351" cy="3849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𝑐_𝑔=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𝑀𝑜𝑙𝑒𝑠〗_𝑡/((𝑘_(𝐻,𝑐𝑐)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∙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𝑉_𝑎𝑞+𝑉_𝑔 )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8505</xdr:colOff>
      <xdr:row>6</xdr:row>
      <xdr:rowOff>85044</xdr:rowOff>
    </xdr:from>
    <xdr:ext cx="5117009" cy="4082986"/>
    <xdr:pic>
      <xdr:nvPicPr>
        <xdr:cNvPr id="7" name="Picture 6">
          <a:extLst>
            <a:ext uri="{FF2B5EF4-FFF2-40B4-BE49-F238E27FC236}">
              <a16:creationId xmlns:a16="http://schemas.microsoft.com/office/drawing/2014/main" id="{05AD81B4-231F-42F3-96BB-2AD66EAFC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3773" y="3563370"/>
          <a:ext cx="5117009" cy="408298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  <xdr:oneCellAnchor>
    <xdr:from>
      <xdr:col>7</xdr:col>
      <xdr:colOff>21771</xdr:colOff>
      <xdr:row>30</xdr:row>
      <xdr:rowOff>11567</xdr:rowOff>
    </xdr:from>
    <xdr:ext cx="2927893" cy="843536"/>
    <xdr:pic>
      <xdr:nvPicPr>
        <xdr:cNvPr id="8" name="Picture 7">
          <a:extLst>
            <a:ext uri="{FF2B5EF4-FFF2-40B4-BE49-F238E27FC236}">
              <a16:creationId xmlns:a16="http://schemas.microsoft.com/office/drawing/2014/main" id="{F00C9E25-BAD7-42CB-BCAA-1B7E2B418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7039" y="8107817"/>
          <a:ext cx="2927893" cy="843536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oneCellAnchor>
    <xdr:from>
      <xdr:col>0</xdr:col>
      <xdr:colOff>2053982</xdr:colOff>
      <xdr:row>74</xdr:row>
      <xdr:rowOff>9523</xdr:rowOff>
    </xdr:from>
    <xdr:ext cx="1327351" cy="3849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81D79E6A-1275-4325-A4CF-D6662B75B0B8}"/>
                </a:ext>
              </a:extLst>
            </xdr:cNvPr>
            <xdr:cNvSpPr txBox="1"/>
          </xdr:nvSpPr>
          <xdr:spPr>
            <a:xfrm>
              <a:off x="606182" y="9725023"/>
              <a:ext cx="1327351" cy="3849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𝑔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𝑀𝑜𝑙𝑒𝑠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𝐻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,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𝑐𝑐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𝑎𝑞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𝑔</m:t>
                                </m:r>
                              </m:sub>
                            </m:sSub>
                          </m:e>
                        </m:d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81D79E6A-1275-4325-A4CF-D6662B75B0B8}"/>
                </a:ext>
              </a:extLst>
            </xdr:cNvPr>
            <xdr:cNvSpPr txBox="1"/>
          </xdr:nvSpPr>
          <xdr:spPr>
            <a:xfrm>
              <a:off x="606182" y="9725023"/>
              <a:ext cx="1327351" cy="3849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𝑐_𝑔=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𝑀𝑜𝑙𝑒𝑠〗_𝑡/((𝑘_(𝐻,𝑐𝑐)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∙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𝑉_𝑎𝑞+𝑉_𝑔 ) )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133206</xdr:colOff>
      <xdr:row>69</xdr:row>
      <xdr:rowOff>9744</xdr:rowOff>
    </xdr:from>
    <xdr:ext cx="1705980" cy="1833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69CEEAE-476F-48DB-A349-6FC435E50116}"/>
                </a:ext>
              </a:extLst>
            </xdr:cNvPr>
            <xdr:cNvSpPr txBox="1"/>
          </xdr:nvSpPr>
          <xdr:spPr>
            <a:xfrm>
              <a:off x="133206" y="13640019"/>
              <a:ext cx="1705980" cy="183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𝑀𝑜𝑙𝑒𝑠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𝑎𝑞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𝑎𝑞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69CEEAE-476F-48DB-A349-6FC435E50116}"/>
                </a:ext>
              </a:extLst>
            </xdr:cNvPr>
            <xdr:cNvSpPr txBox="1"/>
          </xdr:nvSpPr>
          <xdr:spPr>
            <a:xfrm>
              <a:off x="133206" y="13640019"/>
              <a:ext cx="1705980" cy="183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𝑀𝑜𝑙𝑒𝑠〗_𝑡=𝑐_𝑎𝑞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∙𝑉_𝑎𝑞+𝑐_𝑔∙𝑉_𝑔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106302</xdr:colOff>
      <xdr:row>13</xdr:row>
      <xdr:rowOff>133568</xdr:rowOff>
    </xdr:from>
    <xdr:ext cx="913070" cy="4440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4110ADBD-DD8C-421C-8C93-AF5416A5B375}"/>
                </a:ext>
              </a:extLst>
            </xdr:cNvPr>
            <xdr:cNvSpPr txBox="1"/>
          </xdr:nvSpPr>
          <xdr:spPr>
            <a:xfrm>
              <a:off x="106302" y="2714843"/>
              <a:ext cx="913070" cy="4440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𝒌</m:t>
                        </m:r>
                      </m:e>
                      <m:sub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𝑯</m:t>
                        </m:r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𝒄𝒄</m:t>
                        </m:r>
                      </m:sub>
                    </m:sSub>
                    <m:r>
                      <a:rPr lang="en-US" sz="1400" b="1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4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400" b="1" i="1">
                                <a:latin typeface="Cambria Math" panose="02040503050406030204" pitchFamily="18" charset="0"/>
                              </a:rPr>
                              <m:t>𝒄</m:t>
                            </m:r>
                          </m:e>
                          <m:sub>
                            <m:r>
                              <a:rPr lang="en-US" sz="1400" b="1" i="1">
                                <a:latin typeface="Cambria Math" panose="02040503050406030204" pitchFamily="18" charset="0"/>
                              </a:rPr>
                              <m:t>𝒂𝒒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4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400" b="1" i="1">
                                <a:latin typeface="Cambria Math" panose="02040503050406030204" pitchFamily="18" charset="0"/>
                              </a:rPr>
                              <m:t>𝒄</m:t>
                            </m:r>
                          </m:e>
                          <m:sub>
                            <m:r>
                              <a:rPr lang="en-US" sz="1400" b="1" i="1">
                                <a:latin typeface="Cambria Math" panose="02040503050406030204" pitchFamily="18" charset="0"/>
                              </a:rPr>
                              <m:t>𝒈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400" b="1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4110ADBD-DD8C-421C-8C93-AF5416A5B375}"/>
                </a:ext>
              </a:extLst>
            </xdr:cNvPr>
            <xdr:cNvSpPr txBox="1"/>
          </xdr:nvSpPr>
          <xdr:spPr>
            <a:xfrm>
              <a:off x="106302" y="2714843"/>
              <a:ext cx="913070" cy="4440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1" i="0">
                  <a:latin typeface="Cambria Math" panose="02040503050406030204" pitchFamily="18" charset="0"/>
                </a:rPr>
                <a:t>𝒌_(𝑯,𝒄𝒄)=𝒄_𝒂𝒒/𝒄_𝒈 </a:t>
              </a:r>
              <a:endParaRPr lang="en-US" sz="1400" b="1"/>
            </a:p>
          </xdr:txBody>
        </xdr:sp>
      </mc:Fallback>
    </mc:AlternateContent>
    <xdr:clientData/>
  </xdr:oneCellAnchor>
  <xdr:oneCellAnchor>
    <xdr:from>
      <xdr:col>0</xdr:col>
      <xdr:colOff>107029</xdr:colOff>
      <xdr:row>29</xdr:row>
      <xdr:rowOff>68035</xdr:rowOff>
    </xdr:from>
    <xdr:ext cx="2274221" cy="3599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576C4CE8-3E08-4EEC-A6E8-22D90634B1DD}"/>
                </a:ext>
              </a:extLst>
            </xdr:cNvPr>
            <xdr:cNvSpPr txBox="1"/>
          </xdr:nvSpPr>
          <xdr:spPr>
            <a:xfrm>
              <a:off x="107029" y="5811610"/>
              <a:ext cx="2274221" cy="3599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e>
                      <m:sub>
                        <m:r>
                          <a:rPr lang="en-US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𝑯</m:t>
                        </m:r>
                        <m:r>
                          <a:rPr lang="en-US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</m:t>
                        </m:r>
                        <m:r>
                          <a:rPr lang="en-US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𝒄𝒄</m:t>
                        </m:r>
                      </m:sub>
                      <m:sup>
                        <m:r>
                          <a:rPr lang="en-US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𝑻</m:t>
                        </m:r>
                      </m:sup>
                    </m:sSubSup>
                    <m:r>
                      <a:rPr lang="en-US" sz="1400" b="1" i="1">
                        <a:latin typeface="Cambria Math" panose="02040503050406030204" pitchFamily="18" charset="0"/>
                      </a:rPr>
                      <m:t>=</m:t>
                    </m:r>
                    <m:sSubSup>
                      <m:sSubSup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𝒌</m:t>
                        </m:r>
                      </m:e>
                      <m:sub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𝑯</m:t>
                        </m:r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𝒄𝒄</m:t>
                        </m:r>
                      </m:sub>
                      <m:sup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𝟎</m:t>
                        </m:r>
                      </m:sup>
                    </m:sSubSup>
                    <m:r>
                      <a:rPr lang="en-US" sz="1400" b="1" i="1">
                        <a:latin typeface="Cambria Math" panose="02040503050406030204" pitchFamily="18" charset="0"/>
                      </a:rPr>
                      <m:t>/</m:t>
                    </m:r>
                    <m:sSup>
                      <m:sSupPr>
                        <m:ctrlPr>
                          <a:rPr lang="en-US" sz="14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𝒆</m:t>
                        </m:r>
                      </m:e>
                      <m:sup>
                        <m:d>
                          <m:dPr>
                            <m:begChr m:val="["/>
                            <m:endChr m:val="]"/>
                            <m:ctrlPr>
                              <a:rPr lang="en-US" sz="1400" b="1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400" b="1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400" b="1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𝑪</m:t>
                            </m:r>
                            <m:r>
                              <a:rPr lang="en-US" sz="1400" b="1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∙</m:t>
                            </m:r>
                            <m:d>
                              <m:dPr>
                                <m:ctrlPr>
                                  <a:rPr lang="en-US" sz="1400" b="1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400" b="1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400" b="1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𝟏</m:t>
                                    </m:r>
                                  </m:num>
                                  <m:den>
                                    <m:r>
                                      <a:rPr lang="en-US" sz="1400" b="1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𝑻</m:t>
                                    </m:r>
                                  </m:den>
                                </m:f>
                                <m:r>
                                  <a:rPr lang="en-US" sz="1400" b="1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−</m:t>
                                </m:r>
                                <m:f>
                                  <m:fPr>
                                    <m:ctrlPr>
                                      <a:rPr lang="en-US" sz="1400" b="1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400" b="1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𝟏</m:t>
                                    </m:r>
                                  </m:num>
                                  <m:den>
                                    <m:sSup>
                                      <m:sSupPr>
                                        <m:ctrlPr>
                                          <a:rPr lang="en-US" sz="1400" b="1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sSupPr>
                                      <m:e>
                                        <m:r>
                                          <a:rPr lang="en-US" sz="1400" b="1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𝑻</m:t>
                                        </m:r>
                                      </m:e>
                                      <m:sup>
                                        <m:r>
                                          <a:rPr lang="en-US" sz="1400" b="1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𝟎</m:t>
                                        </m:r>
                                      </m:sup>
                                    </m:sSup>
                                  </m:den>
                                </m:f>
                              </m:e>
                            </m:d>
                          </m:e>
                        </m:d>
                      </m:sup>
                    </m:sSup>
                  </m:oMath>
                </m:oMathPara>
              </a14:m>
              <a:endParaRPr lang="en-US" sz="1400" b="1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576C4CE8-3E08-4EEC-A6E8-22D90634B1DD}"/>
                </a:ext>
              </a:extLst>
            </xdr:cNvPr>
            <xdr:cNvSpPr txBox="1"/>
          </xdr:nvSpPr>
          <xdr:spPr>
            <a:xfrm>
              <a:off x="107029" y="5811610"/>
              <a:ext cx="2274221" cy="3599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𝒌_(𝑯,𝒄𝒄)^𝑻</a:t>
              </a:r>
              <a:r>
                <a:rPr lang="en-US" sz="1400" b="1" i="0">
                  <a:latin typeface="Cambria Math" panose="02040503050406030204" pitchFamily="18" charset="0"/>
                </a:rPr>
                <a:t>=𝒌_(𝑯,𝒄𝒄)^𝟎/</a:t>
              </a:r>
              <a:r>
                <a:rPr lang="en-US" sz="14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𝒆^[−𝑪∙(𝟏/𝑻−𝟏/𝑻^𝟎 )] </a:t>
              </a:r>
              <a:endParaRPr lang="en-US" sz="1400" b="1"/>
            </a:p>
          </xdr:txBody>
        </xdr:sp>
      </mc:Fallback>
    </mc:AlternateContent>
    <xdr:clientData/>
  </xdr:oneCellAnchor>
  <xdr:oneCellAnchor>
    <xdr:from>
      <xdr:col>0</xdr:col>
      <xdr:colOff>128698</xdr:colOff>
      <xdr:row>71</xdr:row>
      <xdr:rowOff>16142</xdr:rowOff>
    </xdr:from>
    <xdr:ext cx="1970091" cy="1856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EFC28C7B-0E26-41CB-85D8-E926A7BC42DC}"/>
                </a:ext>
              </a:extLst>
            </xdr:cNvPr>
            <xdr:cNvSpPr txBox="1"/>
          </xdr:nvSpPr>
          <xdr:spPr>
            <a:xfrm>
              <a:off x="128698" y="14027417"/>
              <a:ext cx="1970091" cy="1856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𝑀𝑜𝑙𝑒𝑠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𝑐𝑐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∙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𝑔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𝑎𝑞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EFC28C7B-0E26-41CB-85D8-E926A7BC42DC}"/>
                </a:ext>
              </a:extLst>
            </xdr:cNvPr>
            <xdr:cNvSpPr txBox="1"/>
          </xdr:nvSpPr>
          <xdr:spPr>
            <a:xfrm>
              <a:off x="128698" y="14027417"/>
              <a:ext cx="1970091" cy="1856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𝑀𝑜𝑙𝑒𝑠〗_𝑡=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〖𝑘_(𝐻,𝑐𝑐)∙𝑐〗_𝑔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∙𝑉_𝑎𝑞+𝑐_𝑔∙𝑉_𝑔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140477</xdr:colOff>
      <xdr:row>72</xdr:row>
      <xdr:rowOff>181994</xdr:rowOff>
    </xdr:from>
    <xdr:ext cx="1327351" cy="3849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6547398E-1BC3-4637-B268-B6282F3FC8CA}"/>
                </a:ext>
              </a:extLst>
            </xdr:cNvPr>
            <xdr:cNvSpPr txBox="1"/>
          </xdr:nvSpPr>
          <xdr:spPr>
            <a:xfrm>
              <a:off x="140477" y="14383769"/>
              <a:ext cx="1327351" cy="3849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𝑔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𝑀𝑜𝑙𝑒𝑠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𝐻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,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𝑐𝑐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𝑎𝑞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𝑔</m:t>
                                </m:r>
                              </m:sub>
                            </m:sSub>
                          </m:e>
                        </m:d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6547398E-1BC3-4637-B268-B6282F3FC8CA}"/>
                </a:ext>
              </a:extLst>
            </xdr:cNvPr>
            <xdr:cNvSpPr txBox="1"/>
          </xdr:nvSpPr>
          <xdr:spPr>
            <a:xfrm>
              <a:off x="140477" y="14383769"/>
              <a:ext cx="1327351" cy="3849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𝑐_𝑔=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𝑀𝑜𝑙𝑒𝑠〗_𝑡/((𝑘_(𝐻,𝑐𝑐)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∙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𝑉_𝑎𝑞+𝑉_𝑔 )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8505</xdr:colOff>
      <xdr:row>6</xdr:row>
      <xdr:rowOff>85044</xdr:rowOff>
    </xdr:from>
    <xdr:ext cx="5117009" cy="4082986"/>
    <xdr:pic>
      <xdr:nvPicPr>
        <xdr:cNvPr id="7" name="Picture 6">
          <a:extLst>
            <a:ext uri="{FF2B5EF4-FFF2-40B4-BE49-F238E27FC236}">
              <a16:creationId xmlns:a16="http://schemas.microsoft.com/office/drawing/2014/main" id="{64D5549A-A474-42BA-B9F8-FBD764B02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6955" y="1332819"/>
          <a:ext cx="5117009" cy="408298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  <xdr:oneCellAnchor>
    <xdr:from>
      <xdr:col>7</xdr:col>
      <xdr:colOff>21771</xdr:colOff>
      <xdr:row>30</xdr:row>
      <xdr:rowOff>11567</xdr:rowOff>
    </xdr:from>
    <xdr:ext cx="2927893" cy="843536"/>
    <xdr:pic>
      <xdr:nvPicPr>
        <xdr:cNvPr id="8" name="Picture 7">
          <a:extLst>
            <a:ext uri="{FF2B5EF4-FFF2-40B4-BE49-F238E27FC236}">
              <a16:creationId xmlns:a16="http://schemas.microsoft.com/office/drawing/2014/main" id="{EBC87F85-98E8-449F-891D-F7F1FB662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70221" y="5945642"/>
          <a:ext cx="2927893" cy="843536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133206</xdr:colOff>
      <xdr:row>70</xdr:row>
      <xdr:rowOff>9744</xdr:rowOff>
    </xdr:from>
    <xdr:ext cx="1705980" cy="1833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5EF398B-254B-49B3-B9DA-C6121134249D}"/>
                </a:ext>
              </a:extLst>
            </xdr:cNvPr>
            <xdr:cNvSpPr txBox="1"/>
          </xdr:nvSpPr>
          <xdr:spPr>
            <a:xfrm>
              <a:off x="133206" y="13449519"/>
              <a:ext cx="1705980" cy="183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𝑀𝑜𝑙𝑒𝑠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𝑎𝑞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𝑎𝑞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5EF398B-254B-49B3-B9DA-C6121134249D}"/>
                </a:ext>
              </a:extLst>
            </xdr:cNvPr>
            <xdr:cNvSpPr txBox="1"/>
          </xdr:nvSpPr>
          <xdr:spPr>
            <a:xfrm>
              <a:off x="133206" y="13449519"/>
              <a:ext cx="1705980" cy="183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𝑀𝑜𝑙𝑒𝑠〗_𝑡=𝑐_𝑎𝑞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∙𝑉_𝑎𝑞+𝑐_𝑔∙𝑉_𝑔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106302</xdr:colOff>
      <xdr:row>13</xdr:row>
      <xdr:rowOff>133568</xdr:rowOff>
    </xdr:from>
    <xdr:ext cx="913070" cy="4440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6ABA427A-7C15-4C49-BE97-63449AA95762}"/>
                </a:ext>
              </a:extLst>
            </xdr:cNvPr>
            <xdr:cNvSpPr txBox="1"/>
          </xdr:nvSpPr>
          <xdr:spPr>
            <a:xfrm>
              <a:off x="106302" y="2714843"/>
              <a:ext cx="913070" cy="4440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𝒌</m:t>
                        </m:r>
                      </m:e>
                      <m:sub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𝑯</m:t>
                        </m:r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𝒄𝒄</m:t>
                        </m:r>
                      </m:sub>
                    </m:sSub>
                    <m:r>
                      <a:rPr lang="en-US" sz="1400" b="1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4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400" b="1" i="1">
                                <a:latin typeface="Cambria Math" panose="02040503050406030204" pitchFamily="18" charset="0"/>
                              </a:rPr>
                              <m:t>𝒄</m:t>
                            </m:r>
                          </m:e>
                          <m:sub>
                            <m:r>
                              <a:rPr lang="en-US" sz="1400" b="1" i="1">
                                <a:latin typeface="Cambria Math" panose="02040503050406030204" pitchFamily="18" charset="0"/>
                              </a:rPr>
                              <m:t>𝒂𝒒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4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400" b="1" i="1">
                                <a:latin typeface="Cambria Math" panose="02040503050406030204" pitchFamily="18" charset="0"/>
                              </a:rPr>
                              <m:t>𝒄</m:t>
                            </m:r>
                          </m:e>
                          <m:sub>
                            <m:r>
                              <a:rPr lang="en-US" sz="1400" b="1" i="1">
                                <a:latin typeface="Cambria Math" panose="02040503050406030204" pitchFamily="18" charset="0"/>
                              </a:rPr>
                              <m:t>𝒈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400" b="1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6ABA427A-7C15-4C49-BE97-63449AA95762}"/>
                </a:ext>
              </a:extLst>
            </xdr:cNvPr>
            <xdr:cNvSpPr txBox="1"/>
          </xdr:nvSpPr>
          <xdr:spPr>
            <a:xfrm>
              <a:off x="106302" y="2714843"/>
              <a:ext cx="913070" cy="4440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1" i="0">
                  <a:latin typeface="Cambria Math" panose="02040503050406030204" pitchFamily="18" charset="0"/>
                </a:rPr>
                <a:t>𝒌_(𝑯,𝒄𝒄)=𝒄_𝒂𝒒/𝒄_𝒈 </a:t>
              </a:r>
              <a:endParaRPr lang="en-US" sz="1400" b="1"/>
            </a:p>
          </xdr:txBody>
        </xdr:sp>
      </mc:Fallback>
    </mc:AlternateContent>
    <xdr:clientData/>
  </xdr:oneCellAnchor>
  <xdr:oneCellAnchor>
    <xdr:from>
      <xdr:col>0</xdr:col>
      <xdr:colOff>107029</xdr:colOff>
      <xdr:row>29</xdr:row>
      <xdr:rowOff>68035</xdr:rowOff>
    </xdr:from>
    <xdr:ext cx="2274221" cy="3599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D0A3C7D-2949-4F21-B633-204539112BBB}"/>
                </a:ext>
              </a:extLst>
            </xdr:cNvPr>
            <xdr:cNvSpPr txBox="1"/>
          </xdr:nvSpPr>
          <xdr:spPr>
            <a:xfrm>
              <a:off x="107029" y="5811610"/>
              <a:ext cx="2274221" cy="3599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e>
                      <m:sub>
                        <m:r>
                          <a:rPr lang="en-US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𝑯</m:t>
                        </m:r>
                        <m:r>
                          <a:rPr lang="en-US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</m:t>
                        </m:r>
                        <m:r>
                          <a:rPr lang="en-US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𝒄𝒄</m:t>
                        </m:r>
                      </m:sub>
                      <m:sup>
                        <m:r>
                          <a:rPr lang="en-US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𝑻</m:t>
                        </m:r>
                      </m:sup>
                    </m:sSubSup>
                    <m:r>
                      <a:rPr lang="en-US" sz="1400" b="1" i="1">
                        <a:latin typeface="Cambria Math" panose="02040503050406030204" pitchFamily="18" charset="0"/>
                      </a:rPr>
                      <m:t>=</m:t>
                    </m:r>
                    <m:sSubSup>
                      <m:sSubSupPr>
                        <m:ctrlPr>
                          <a:rPr lang="en-US" sz="1400" b="1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𝒌</m:t>
                        </m:r>
                      </m:e>
                      <m:sub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𝑯</m:t>
                        </m:r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𝒄𝒄</m:t>
                        </m:r>
                      </m:sub>
                      <m:sup>
                        <m:r>
                          <a:rPr lang="en-US" sz="1400" b="1" i="1">
                            <a:latin typeface="Cambria Math" panose="02040503050406030204" pitchFamily="18" charset="0"/>
                          </a:rPr>
                          <m:t>𝟎</m:t>
                        </m:r>
                      </m:sup>
                    </m:sSubSup>
                    <m:r>
                      <a:rPr lang="en-US" sz="1400" b="1" i="1">
                        <a:latin typeface="Cambria Math" panose="02040503050406030204" pitchFamily="18" charset="0"/>
                      </a:rPr>
                      <m:t>/</m:t>
                    </m:r>
                    <m:sSup>
                      <m:sSupPr>
                        <m:ctrlPr>
                          <a:rPr lang="en-US" sz="14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𝒆</m:t>
                        </m:r>
                      </m:e>
                      <m:sup>
                        <m:d>
                          <m:dPr>
                            <m:begChr m:val="["/>
                            <m:endChr m:val="]"/>
                            <m:ctrlPr>
                              <a:rPr lang="en-US" sz="1400" b="1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400" b="1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400" b="1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𝑪</m:t>
                            </m:r>
                            <m:r>
                              <a:rPr lang="en-US" sz="1400" b="1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∙</m:t>
                            </m:r>
                            <m:d>
                              <m:dPr>
                                <m:ctrlPr>
                                  <a:rPr lang="en-US" sz="1400" b="1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400" b="1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400" b="1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𝟏</m:t>
                                    </m:r>
                                  </m:num>
                                  <m:den>
                                    <m:r>
                                      <a:rPr lang="en-US" sz="1400" b="1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𝑻</m:t>
                                    </m:r>
                                  </m:den>
                                </m:f>
                                <m:r>
                                  <a:rPr lang="en-US" sz="1400" b="1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−</m:t>
                                </m:r>
                                <m:f>
                                  <m:fPr>
                                    <m:ctrlPr>
                                      <a:rPr lang="en-US" sz="1400" b="1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400" b="1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𝟏</m:t>
                                    </m:r>
                                  </m:num>
                                  <m:den>
                                    <m:sSup>
                                      <m:sSupPr>
                                        <m:ctrlPr>
                                          <a:rPr lang="en-US" sz="1400" b="1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sSupPr>
                                      <m:e>
                                        <m:r>
                                          <a:rPr lang="en-US" sz="1400" b="1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𝑻</m:t>
                                        </m:r>
                                      </m:e>
                                      <m:sup>
                                        <m:r>
                                          <a:rPr lang="en-US" sz="1400" b="1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𝟎</m:t>
                                        </m:r>
                                      </m:sup>
                                    </m:sSup>
                                  </m:den>
                                </m:f>
                              </m:e>
                            </m:d>
                          </m:e>
                        </m:d>
                      </m:sup>
                    </m:sSup>
                  </m:oMath>
                </m:oMathPara>
              </a14:m>
              <a:endParaRPr lang="en-US" sz="1400" b="1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D0A3C7D-2949-4F21-B633-204539112BBB}"/>
                </a:ext>
              </a:extLst>
            </xdr:cNvPr>
            <xdr:cNvSpPr txBox="1"/>
          </xdr:nvSpPr>
          <xdr:spPr>
            <a:xfrm>
              <a:off x="107029" y="5811610"/>
              <a:ext cx="2274221" cy="3599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𝒌_(𝑯,𝒄𝒄)^𝑻</a:t>
              </a:r>
              <a:r>
                <a:rPr lang="en-US" sz="1400" b="1" i="0">
                  <a:latin typeface="Cambria Math" panose="02040503050406030204" pitchFamily="18" charset="0"/>
                </a:rPr>
                <a:t>=𝒌_(𝑯,𝒄𝒄)^𝟎/</a:t>
              </a:r>
              <a:r>
                <a:rPr lang="en-US" sz="14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𝒆^[−𝑪∙(𝟏/𝑻−𝟏/𝑻^𝟎 )] </a:t>
              </a:r>
              <a:endParaRPr lang="en-US" sz="1400" b="1"/>
            </a:p>
          </xdr:txBody>
        </xdr:sp>
      </mc:Fallback>
    </mc:AlternateContent>
    <xdr:clientData/>
  </xdr:oneCellAnchor>
  <xdr:oneCellAnchor>
    <xdr:from>
      <xdr:col>0</xdr:col>
      <xdr:colOff>128698</xdr:colOff>
      <xdr:row>72</xdr:row>
      <xdr:rowOff>16142</xdr:rowOff>
    </xdr:from>
    <xdr:ext cx="1970091" cy="1856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96ECF998-EF9C-4292-BF3C-FC5A64894AF7}"/>
                </a:ext>
              </a:extLst>
            </xdr:cNvPr>
            <xdr:cNvSpPr txBox="1"/>
          </xdr:nvSpPr>
          <xdr:spPr>
            <a:xfrm>
              <a:off x="128698" y="13836917"/>
              <a:ext cx="1970091" cy="1856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𝑀𝑜𝑙𝑒𝑠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,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𝑐𝑐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∙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𝑔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𝑎𝑞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96ECF998-EF9C-4292-BF3C-FC5A64894AF7}"/>
                </a:ext>
              </a:extLst>
            </xdr:cNvPr>
            <xdr:cNvSpPr txBox="1"/>
          </xdr:nvSpPr>
          <xdr:spPr>
            <a:xfrm>
              <a:off x="128698" y="13836917"/>
              <a:ext cx="1970091" cy="1856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𝑀𝑜𝑙𝑒𝑠〗_𝑡=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〖𝑘_(𝐻,𝑐𝑐)∙𝑐〗_𝑔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∙𝑉_𝑎𝑞+𝑐_𝑔∙𝑉_𝑔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140477</xdr:colOff>
      <xdr:row>73</xdr:row>
      <xdr:rowOff>181994</xdr:rowOff>
    </xdr:from>
    <xdr:ext cx="1327351" cy="3849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CBE2BAF-46A6-4E86-A3EB-02F8CCB0B175}"/>
                </a:ext>
              </a:extLst>
            </xdr:cNvPr>
            <xdr:cNvSpPr txBox="1"/>
          </xdr:nvSpPr>
          <xdr:spPr>
            <a:xfrm>
              <a:off x="140477" y="14193269"/>
              <a:ext cx="1327351" cy="3849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𝑔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𝑀𝑜𝑙𝑒𝑠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𝐻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,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𝑐𝑐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𝑎𝑞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𝑔</m:t>
                                </m:r>
                              </m:sub>
                            </m:sSub>
                          </m:e>
                        </m:d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CBE2BAF-46A6-4E86-A3EB-02F8CCB0B175}"/>
                </a:ext>
              </a:extLst>
            </xdr:cNvPr>
            <xdr:cNvSpPr txBox="1"/>
          </xdr:nvSpPr>
          <xdr:spPr>
            <a:xfrm>
              <a:off x="140477" y="14193269"/>
              <a:ext cx="1327351" cy="3849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𝑐_𝑔=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𝑀𝑜𝑙𝑒𝑠〗_𝑡/((𝑘_(𝐻,𝑐𝑐)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∙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𝑉_𝑎𝑞+𝑉_𝑔 )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8505</xdr:colOff>
      <xdr:row>6</xdr:row>
      <xdr:rowOff>85044</xdr:rowOff>
    </xdr:from>
    <xdr:ext cx="5117009" cy="4082986"/>
    <xdr:pic>
      <xdr:nvPicPr>
        <xdr:cNvPr id="7" name="Picture 6">
          <a:extLst>
            <a:ext uri="{FF2B5EF4-FFF2-40B4-BE49-F238E27FC236}">
              <a16:creationId xmlns:a16="http://schemas.microsoft.com/office/drawing/2014/main" id="{E383AD90-B5DA-4DEE-940D-CF15DAAB0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6955" y="1332819"/>
          <a:ext cx="5117009" cy="408298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  <xdr:oneCellAnchor>
    <xdr:from>
      <xdr:col>7</xdr:col>
      <xdr:colOff>21771</xdr:colOff>
      <xdr:row>30</xdr:row>
      <xdr:rowOff>11567</xdr:rowOff>
    </xdr:from>
    <xdr:ext cx="2927893" cy="843536"/>
    <xdr:pic>
      <xdr:nvPicPr>
        <xdr:cNvPr id="8" name="Picture 7">
          <a:extLst>
            <a:ext uri="{FF2B5EF4-FFF2-40B4-BE49-F238E27FC236}">
              <a16:creationId xmlns:a16="http://schemas.microsoft.com/office/drawing/2014/main" id="{98B7C83D-7263-4747-81A4-BFAAE9253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70221" y="5945642"/>
          <a:ext cx="2927893" cy="843536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31A9-37A1-4615-B280-522420ADB70B}">
  <dimension ref="A1"/>
  <sheetViews>
    <sheetView tabSelected="1" workbookViewId="0">
      <selection activeCell="I30" sqref="I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2C3D5-D437-4377-95F3-AC5E8114C8A6}">
  <dimension ref="A1:T87"/>
  <sheetViews>
    <sheetView workbookViewId="0">
      <selection activeCell="A7" sqref="A7"/>
    </sheetView>
  </sheetViews>
  <sheetFormatPr defaultRowHeight="15" x14ac:dyDescent="0.25"/>
  <cols>
    <col min="1" max="1" width="9.7109375" bestFit="1" customWidth="1"/>
    <col min="2" max="2" width="9.140625" style="4"/>
  </cols>
  <sheetData>
    <row r="1" spans="1:1" ht="23.25" x14ac:dyDescent="0.35">
      <c r="A1" s="1" t="s">
        <v>0</v>
      </c>
    </row>
    <row r="2" spans="1:1" x14ac:dyDescent="0.25">
      <c r="A2" s="2" t="s">
        <v>41</v>
      </c>
    </row>
    <row r="3" spans="1:1" x14ac:dyDescent="0.25">
      <c r="A3" s="2"/>
    </row>
    <row r="4" spans="1:1" x14ac:dyDescent="0.25">
      <c r="A4" s="2" t="s">
        <v>13</v>
      </c>
    </row>
    <row r="5" spans="1:1" x14ac:dyDescent="0.25">
      <c r="A5" s="2"/>
    </row>
    <row r="6" spans="1:1" x14ac:dyDescent="0.25">
      <c r="A6" s="2" t="s">
        <v>35</v>
      </c>
    </row>
    <row r="7" spans="1:1" x14ac:dyDescent="0.25">
      <c r="A7" s="2" t="s">
        <v>119</v>
      </c>
    </row>
    <row r="8" spans="1:1" x14ac:dyDescent="0.25">
      <c r="A8" s="2"/>
    </row>
    <row r="9" spans="1:1" x14ac:dyDescent="0.25">
      <c r="A9" s="2"/>
    </row>
    <row r="10" spans="1:1" x14ac:dyDescent="0.25">
      <c r="A10" s="7" t="s">
        <v>40</v>
      </c>
    </row>
    <row r="18" spans="1:6" x14ac:dyDescent="0.25">
      <c r="A18" s="7" t="s">
        <v>31</v>
      </c>
    </row>
    <row r="20" spans="1:6" ht="18" x14ac:dyDescent="0.35">
      <c r="A20" s="3" t="s">
        <v>27</v>
      </c>
      <c r="B20" s="4" t="s">
        <v>29</v>
      </c>
    </row>
    <row r="21" spans="1:6" ht="18" x14ac:dyDescent="0.35">
      <c r="A21" s="3" t="s">
        <v>8</v>
      </c>
      <c r="B21" s="4" t="s">
        <v>2</v>
      </c>
      <c r="E21" s="5">
        <v>20.9</v>
      </c>
      <c r="F21" t="s">
        <v>9</v>
      </c>
    </row>
    <row r="22" spans="1:6" x14ac:dyDescent="0.25">
      <c r="A22" s="3" t="s">
        <v>5</v>
      </c>
      <c r="B22" s="4" t="s">
        <v>6</v>
      </c>
    </row>
    <row r="23" spans="1:6" x14ac:dyDescent="0.25">
      <c r="A23" s="3" t="s">
        <v>3</v>
      </c>
      <c r="B23" s="4" t="s">
        <v>4</v>
      </c>
      <c r="E23" s="5">
        <v>76.400000000000006</v>
      </c>
      <c r="F23" t="s">
        <v>10</v>
      </c>
    </row>
    <row r="24" spans="1:6" x14ac:dyDescent="0.25">
      <c r="A24" s="3" t="s">
        <v>42</v>
      </c>
      <c r="B24" s="4" t="s">
        <v>7</v>
      </c>
      <c r="E24" s="5">
        <v>19.606000000000002</v>
      </c>
      <c r="F24" t="s">
        <v>11</v>
      </c>
    </row>
    <row r="25" spans="1:6" ht="18" x14ac:dyDescent="0.35">
      <c r="A25" s="3" t="s">
        <v>28</v>
      </c>
      <c r="B25" s="4" t="s">
        <v>43</v>
      </c>
    </row>
    <row r="26" spans="1:6" x14ac:dyDescent="0.25">
      <c r="A26" s="3"/>
    </row>
    <row r="27" spans="1:6" x14ac:dyDescent="0.25">
      <c r="A27" t="s">
        <v>32</v>
      </c>
      <c r="B27" s="4" t="s">
        <v>34</v>
      </c>
      <c r="C27" s="4" t="s">
        <v>33</v>
      </c>
    </row>
    <row r="28" spans="1:6" x14ac:dyDescent="0.25">
      <c r="A28" s="6">
        <v>0</v>
      </c>
      <c r="B28" s="4">
        <f t="shared" ref="B28:B48" si="0">A28*$E$23</f>
        <v>0</v>
      </c>
      <c r="C28" s="11">
        <f t="shared" ref="C28:C48" si="1">$E$21*EXP(-$E$23*A28/$E$24)</f>
        <v>20.9</v>
      </c>
    </row>
    <row r="29" spans="1:6" x14ac:dyDescent="0.25">
      <c r="A29" s="6">
        <v>0.1</v>
      </c>
      <c r="B29" s="4">
        <f t="shared" si="0"/>
        <v>7.6400000000000006</v>
      </c>
      <c r="C29" s="11">
        <f t="shared" si="1"/>
        <v>14.155065266077116</v>
      </c>
    </row>
    <row r="30" spans="1:6" x14ac:dyDescent="0.25">
      <c r="A30" s="6">
        <v>0.2</v>
      </c>
      <c r="B30" s="4">
        <f t="shared" si="0"/>
        <v>15.280000000000001</v>
      </c>
      <c r="C30" s="11">
        <f t="shared" si="1"/>
        <v>9.586883860617359</v>
      </c>
    </row>
    <row r="31" spans="1:6" x14ac:dyDescent="0.25">
      <c r="A31" s="6">
        <v>0.3</v>
      </c>
      <c r="B31" s="4">
        <f t="shared" si="0"/>
        <v>22.92</v>
      </c>
      <c r="C31" s="11">
        <f t="shared" si="1"/>
        <v>6.4929649160449809</v>
      </c>
    </row>
    <row r="32" spans="1:6" x14ac:dyDescent="0.25">
      <c r="A32" s="6">
        <v>0.4</v>
      </c>
      <c r="B32" s="4">
        <f t="shared" si="0"/>
        <v>30.560000000000002</v>
      </c>
      <c r="C32" s="11">
        <f t="shared" si="1"/>
        <v>4.3975283328691681</v>
      </c>
    </row>
    <row r="33" spans="1:20" x14ac:dyDescent="0.25">
      <c r="A33" s="6">
        <v>0.5</v>
      </c>
      <c r="B33" s="4">
        <f t="shared" si="0"/>
        <v>38.200000000000003</v>
      </c>
      <c r="C33" s="11">
        <f t="shared" si="1"/>
        <v>2.9783397397696834</v>
      </c>
    </row>
    <row r="34" spans="1:20" x14ac:dyDescent="0.25">
      <c r="A34" s="6">
        <v>0.6</v>
      </c>
      <c r="B34" s="4">
        <f t="shared" si="0"/>
        <v>45.84</v>
      </c>
      <c r="C34" s="11">
        <f t="shared" si="1"/>
        <v>2.0171575789947851</v>
      </c>
    </row>
    <row r="35" spans="1:20" x14ac:dyDescent="0.25">
      <c r="A35" s="6">
        <v>0.7</v>
      </c>
      <c r="B35" s="4">
        <f t="shared" si="0"/>
        <v>53.480000000000004</v>
      </c>
      <c r="C35" s="11">
        <f t="shared" si="1"/>
        <v>1.3661721140015928</v>
      </c>
    </row>
    <row r="36" spans="1:20" x14ac:dyDescent="0.25">
      <c r="A36" s="6">
        <v>0.8</v>
      </c>
      <c r="B36" s="4">
        <f t="shared" si="0"/>
        <v>61.120000000000005</v>
      </c>
      <c r="C36" s="11">
        <f t="shared" si="1"/>
        <v>0.92527537982713326</v>
      </c>
    </row>
    <row r="37" spans="1:20" x14ac:dyDescent="0.25">
      <c r="A37" s="6">
        <v>0.9</v>
      </c>
      <c r="B37" s="4">
        <f t="shared" si="0"/>
        <v>68.760000000000005</v>
      </c>
      <c r="C37" s="11">
        <f t="shared" si="1"/>
        <v>0.62666666940418025</v>
      </c>
      <c r="T37">
        <f>5/2.2</f>
        <v>2.2727272727272725</v>
      </c>
    </row>
    <row r="38" spans="1:20" x14ac:dyDescent="0.25">
      <c r="A38" s="6">
        <v>1</v>
      </c>
      <c r="B38" s="4">
        <f t="shared" si="0"/>
        <v>76.400000000000006</v>
      </c>
      <c r="C38" s="11">
        <f t="shared" si="1"/>
        <v>0.42442620121968155</v>
      </c>
    </row>
    <row r="39" spans="1:20" x14ac:dyDescent="0.25">
      <c r="A39" s="6">
        <v>1.1000000000000001</v>
      </c>
      <c r="B39" s="4">
        <f t="shared" si="0"/>
        <v>84.04</v>
      </c>
      <c r="C39" s="11">
        <f t="shared" si="1"/>
        <v>0.28745361621520438</v>
      </c>
    </row>
    <row r="40" spans="1:20" x14ac:dyDescent="0.25">
      <c r="A40" s="6">
        <v>1.2</v>
      </c>
      <c r="B40" s="4">
        <f t="shared" si="0"/>
        <v>91.68</v>
      </c>
      <c r="C40" s="11">
        <f t="shared" si="1"/>
        <v>0.19468539227254075</v>
      </c>
    </row>
    <row r="41" spans="1:20" x14ac:dyDescent="0.25">
      <c r="A41" s="6">
        <v>1.3</v>
      </c>
      <c r="B41" s="4">
        <f t="shared" si="0"/>
        <v>99.320000000000007</v>
      </c>
      <c r="C41" s="11">
        <f t="shared" si="1"/>
        <v>0.13185571454400191</v>
      </c>
    </row>
    <row r="42" spans="1:20" x14ac:dyDescent="0.25">
      <c r="A42" s="6">
        <v>1.4</v>
      </c>
      <c r="B42" s="4">
        <f t="shared" si="0"/>
        <v>106.96000000000001</v>
      </c>
      <c r="C42" s="11">
        <f t="shared" si="1"/>
        <v>8.9302691151941685E-2</v>
      </c>
    </row>
    <row r="43" spans="1:20" x14ac:dyDescent="0.25">
      <c r="A43" s="6">
        <v>1.5</v>
      </c>
      <c r="B43" s="4">
        <f t="shared" si="0"/>
        <v>114.60000000000001</v>
      </c>
      <c r="C43" s="11">
        <f t="shared" si="1"/>
        <v>6.0482556061821152E-2</v>
      </c>
    </row>
    <row r="44" spans="1:20" x14ac:dyDescent="0.25">
      <c r="A44" s="6">
        <v>1.6</v>
      </c>
      <c r="B44" s="4">
        <f t="shared" si="0"/>
        <v>122.24000000000001</v>
      </c>
      <c r="C44" s="11">
        <f t="shared" si="1"/>
        <v>4.0963374570059614E-2</v>
      </c>
    </row>
    <row r="45" spans="1:20" x14ac:dyDescent="0.25">
      <c r="A45" s="6">
        <v>1.7</v>
      </c>
      <c r="B45" s="4">
        <f t="shared" si="0"/>
        <v>129.88</v>
      </c>
      <c r="C45" s="11">
        <f t="shared" si="1"/>
        <v>2.7743504332916651E-2</v>
      </c>
    </row>
    <row r="46" spans="1:20" x14ac:dyDescent="0.25">
      <c r="A46" s="6">
        <v>1.8</v>
      </c>
      <c r="B46" s="4">
        <f t="shared" si="0"/>
        <v>137.52000000000001</v>
      </c>
      <c r="C46" s="11">
        <f t="shared" si="1"/>
        <v>1.8790005480484602E-2</v>
      </c>
    </row>
    <row r="47" spans="1:20" x14ac:dyDescent="0.25">
      <c r="A47" s="6">
        <v>1.9</v>
      </c>
      <c r="B47" s="4">
        <f t="shared" si="0"/>
        <v>145.16</v>
      </c>
      <c r="C47" s="11">
        <f t="shared" si="1"/>
        <v>1.2726016934268253E-2</v>
      </c>
    </row>
    <row r="48" spans="1:20" x14ac:dyDescent="0.25">
      <c r="A48" s="6">
        <v>2</v>
      </c>
      <c r="B48" s="4">
        <f t="shared" si="0"/>
        <v>152.80000000000001</v>
      </c>
      <c r="C48" s="11">
        <f t="shared" si="1"/>
        <v>8.6190239369267757E-3</v>
      </c>
    </row>
    <row r="49" spans="3:3" x14ac:dyDescent="0.25">
      <c r="C49" s="4"/>
    </row>
    <row r="50" spans="3:3" x14ac:dyDescent="0.25">
      <c r="C50" s="4"/>
    </row>
    <row r="51" spans="3:3" x14ac:dyDescent="0.25">
      <c r="C51" s="4"/>
    </row>
    <row r="52" spans="3:3" x14ac:dyDescent="0.25">
      <c r="C52" s="4"/>
    </row>
    <row r="53" spans="3:3" x14ac:dyDescent="0.25">
      <c r="C53" s="4"/>
    </row>
    <row r="54" spans="3:3" x14ac:dyDescent="0.25">
      <c r="C54" s="4"/>
    </row>
    <row r="55" spans="3:3" x14ac:dyDescent="0.25">
      <c r="C55" s="4"/>
    </row>
    <row r="56" spans="3:3" x14ac:dyDescent="0.25">
      <c r="C56" s="4"/>
    </row>
    <row r="57" spans="3:3" x14ac:dyDescent="0.25">
      <c r="C57" s="4"/>
    </row>
    <row r="58" spans="3:3" x14ac:dyDescent="0.25">
      <c r="C58" s="4"/>
    </row>
    <row r="59" spans="3:3" x14ac:dyDescent="0.25">
      <c r="C59" s="4"/>
    </row>
    <row r="60" spans="3:3" x14ac:dyDescent="0.25">
      <c r="C60" s="4"/>
    </row>
    <row r="61" spans="3:3" x14ac:dyDescent="0.25">
      <c r="C61" s="4"/>
    </row>
    <row r="62" spans="3:3" x14ac:dyDescent="0.25">
      <c r="C62" s="4"/>
    </row>
    <row r="63" spans="3:3" x14ac:dyDescent="0.25">
      <c r="C63" s="4"/>
    </row>
    <row r="64" spans="3:3" x14ac:dyDescent="0.25">
      <c r="C64" s="4"/>
    </row>
    <row r="65" spans="3:3" x14ac:dyDescent="0.25">
      <c r="C65" s="4"/>
    </row>
    <row r="66" spans="3:3" x14ac:dyDescent="0.25">
      <c r="C66" s="4"/>
    </row>
    <row r="67" spans="3:3" x14ac:dyDescent="0.25">
      <c r="C67" s="4"/>
    </row>
    <row r="68" spans="3:3" x14ac:dyDescent="0.25">
      <c r="C68" s="4"/>
    </row>
    <row r="69" spans="3:3" x14ac:dyDescent="0.25">
      <c r="C69" s="4"/>
    </row>
    <row r="70" spans="3:3" x14ac:dyDescent="0.25">
      <c r="C70" s="4"/>
    </row>
    <row r="71" spans="3:3" x14ac:dyDescent="0.25">
      <c r="C71" s="4"/>
    </row>
    <row r="72" spans="3:3" x14ac:dyDescent="0.25">
      <c r="C72" s="4"/>
    </row>
    <row r="73" spans="3:3" x14ac:dyDescent="0.25">
      <c r="C73" s="4"/>
    </row>
    <row r="74" spans="3:3" x14ac:dyDescent="0.25">
      <c r="C74" s="4"/>
    </row>
    <row r="75" spans="3:3" x14ac:dyDescent="0.25">
      <c r="C75" s="4"/>
    </row>
    <row r="76" spans="3:3" x14ac:dyDescent="0.25">
      <c r="C76" s="4"/>
    </row>
    <row r="77" spans="3:3" x14ac:dyDescent="0.25">
      <c r="C77" s="4"/>
    </row>
    <row r="78" spans="3:3" x14ac:dyDescent="0.25">
      <c r="C78" s="4"/>
    </row>
    <row r="79" spans="3:3" x14ac:dyDescent="0.25">
      <c r="C79" s="4"/>
    </row>
    <row r="80" spans="3:3" x14ac:dyDescent="0.25">
      <c r="C80" s="4"/>
    </row>
    <row r="81" spans="3:3" x14ac:dyDescent="0.25">
      <c r="C81" s="4"/>
    </row>
    <row r="82" spans="3:3" x14ac:dyDescent="0.25">
      <c r="C82" s="4"/>
    </row>
    <row r="83" spans="3:3" x14ac:dyDescent="0.25">
      <c r="C83" s="4"/>
    </row>
    <row r="84" spans="3:3" x14ac:dyDescent="0.25">
      <c r="C84" s="4"/>
    </row>
    <row r="85" spans="3:3" x14ac:dyDescent="0.25">
      <c r="C85" s="4"/>
    </row>
    <row r="86" spans="3:3" x14ac:dyDescent="0.25">
      <c r="C86" s="4"/>
    </row>
    <row r="87" spans="3:3" x14ac:dyDescent="0.25">
      <c r="C87" s="4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2E6E8-894E-4E37-B3C9-D2CE5DEAB895}">
  <dimension ref="A1:F126"/>
  <sheetViews>
    <sheetView workbookViewId="0">
      <selection activeCell="A7" sqref="A7"/>
    </sheetView>
  </sheetViews>
  <sheetFormatPr defaultRowHeight="15" x14ac:dyDescent="0.25"/>
  <cols>
    <col min="1" max="1" width="12.5703125" customWidth="1"/>
    <col min="2" max="2" width="21.85546875" customWidth="1"/>
  </cols>
  <sheetData>
    <row r="1" spans="1:1" ht="23.25" x14ac:dyDescent="0.35">
      <c r="A1" s="1" t="s">
        <v>12</v>
      </c>
    </row>
    <row r="2" spans="1:1" x14ac:dyDescent="0.25">
      <c r="A2" t="s">
        <v>41</v>
      </c>
    </row>
    <row r="4" spans="1:1" x14ac:dyDescent="0.25">
      <c r="A4" t="s">
        <v>22</v>
      </c>
    </row>
    <row r="6" spans="1:1" x14ac:dyDescent="0.25">
      <c r="A6" s="2" t="s">
        <v>35</v>
      </c>
    </row>
    <row r="7" spans="1:1" x14ac:dyDescent="0.25">
      <c r="A7" s="2" t="s">
        <v>119</v>
      </c>
    </row>
    <row r="10" spans="1:1" x14ac:dyDescent="0.25">
      <c r="A10" s="7" t="s">
        <v>40</v>
      </c>
    </row>
    <row r="20" spans="1:6" x14ac:dyDescent="0.25">
      <c r="A20" s="7" t="s">
        <v>31</v>
      </c>
    </row>
    <row r="22" spans="1:6" x14ac:dyDescent="0.25">
      <c r="A22" t="s">
        <v>16</v>
      </c>
      <c r="B22" t="s">
        <v>17</v>
      </c>
    </row>
    <row r="23" spans="1:6" x14ac:dyDescent="0.25">
      <c r="A23" t="s">
        <v>14</v>
      </c>
      <c r="B23" t="s">
        <v>15</v>
      </c>
    </row>
    <row r="24" spans="1:6" x14ac:dyDescent="0.25">
      <c r="A24" t="s">
        <v>1</v>
      </c>
      <c r="B24" t="s">
        <v>2</v>
      </c>
      <c r="E24" s="5">
        <v>20.9</v>
      </c>
      <c r="F24" t="s">
        <v>9</v>
      </c>
    </row>
    <row r="25" spans="1:6" x14ac:dyDescent="0.25">
      <c r="A25" t="s">
        <v>25</v>
      </c>
      <c r="B25" s="4" t="s">
        <v>7</v>
      </c>
      <c r="E25" s="5">
        <v>19.606000000000002</v>
      </c>
      <c r="F25" t="s">
        <v>26</v>
      </c>
    </row>
    <row r="26" spans="1:6" x14ac:dyDescent="0.25">
      <c r="A26" t="s">
        <v>39</v>
      </c>
      <c r="B26" s="4" t="s">
        <v>44</v>
      </c>
    </row>
    <row r="27" spans="1:6" x14ac:dyDescent="0.25">
      <c r="A27" t="s">
        <v>18</v>
      </c>
      <c r="B27" t="s">
        <v>21</v>
      </c>
      <c r="E27" s="5">
        <v>14.8</v>
      </c>
      <c r="F27" t="s">
        <v>23</v>
      </c>
    </row>
    <row r="28" spans="1:6" x14ac:dyDescent="0.25">
      <c r="A28" t="s">
        <v>20</v>
      </c>
      <c r="B28" t="s">
        <v>19</v>
      </c>
      <c r="E28" s="5">
        <v>30</v>
      </c>
      <c r="F28" t="s">
        <v>24</v>
      </c>
    </row>
    <row r="29" spans="1:6" x14ac:dyDescent="0.25">
      <c r="A29" t="s">
        <v>30</v>
      </c>
      <c r="B29" t="s">
        <v>38</v>
      </c>
      <c r="E29">
        <f>(E27+E28)/E27</f>
        <v>3.0270270270270268</v>
      </c>
    </row>
    <row r="31" spans="1:6" x14ac:dyDescent="0.25">
      <c r="A31" t="s">
        <v>16</v>
      </c>
      <c r="B31" t="s">
        <v>36</v>
      </c>
      <c r="C31" t="s">
        <v>37</v>
      </c>
    </row>
    <row r="32" spans="1:6" x14ac:dyDescent="0.25">
      <c r="A32" s="5">
        <v>0</v>
      </c>
      <c r="B32" s="4">
        <f>A32*$E$25*(1/$E$29-1)</f>
        <v>0</v>
      </c>
      <c r="C32" s="11">
        <f t="shared" ref="C32:C38" si="0">$E$24*(1/$E$29)^A32</f>
        <v>20.9</v>
      </c>
    </row>
    <row r="33" spans="1:3" x14ac:dyDescent="0.25">
      <c r="A33" s="5">
        <v>1</v>
      </c>
      <c r="B33" s="4">
        <f t="shared" ref="B33:B38" si="1">A33*$E$25*($E$29-1)</f>
        <v>39.741891891891889</v>
      </c>
      <c r="C33" s="11">
        <f t="shared" si="0"/>
        <v>6.9044642857142859</v>
      </c>
    </row>
    <row r="34" spans="1:3" x14ac:dyDescent="0.25">
      <c r="A34" s="5">
        <v>2</v>
      </c>
      <c r="B34" s="4">
        <f t="shared" si="1"/>
        <v>79.483783783783778</v>
      </c>
      <c r="C34" s="11">
        <f t="shared" si="0"/>
        <v>2.2809390943877554</v>
      </c>
    </row>
    <row r="35" spans="1:3" x14ac:dyDescent="0.25">
      <c r="A35" s="5">
        <v>3</v>
      </c>
      <c r="B35" s="4">
        <f t="shared" si="1"/>
        <v>119.22567567567567</v>
      </c>
      <c r="C35" s="11">
        <f t="shared" si="0"/>
        <v>0.75352452225309796</v>
      </c>
    </row>
    <row r="36" spans="1:3" x14ac:dyDescent="0.25">
      <c r="A36" s="5">
        <v>4</v>
      </c>
      <c r="B36" s="4">
        <f t="shared" si="1"/>
        <v>158.96756756756756</v>
      </c>
      <c r="C36" s="11">
        <f t="shared" si="0"/>
        <v>0.24893220824432702</v>
      </c>
    </row>
    <row r="37" spans="1:3" x14ac:dyDescent="0.25">
      <c r="A37" s="5">
        <v>5</v>
      </c>
      <c r="B37" s="4">
        <f t="shared" si="1"/>
        <v>198.70945945945942</v>
      </c>
      <c r="C37" s="11">
        <f t="shared" si="0"/>
        <v>8.2236533080715185E-2</v>
      </c>
    </row>
    <row r="38" spans="1:3" x14ac:dyDescent="0.25">
      <c r="A38" s="5">
        <v>6</v>
      </c>
      <c r="B38" s="4">
        <f t="shared" si="1"/>
        <v>238.45135135135135</v>
      </c>
      <c r="C38" s="11">
        <f t="shared" si="0"/>
        <v>2.7167426107021983E-2</v>
      </c>
    </row>
    <row r="39" spans="1:3" x14ac:dyDescent="0.25">
      <c r="B39" s="4"/>
      <c r="C39" s="4"/>
    </row>
    <row r="40" spans="1:3" x14ac:dyDescent="0.25">
      <c r="B40" s="4"/>
      <c r="C40" s="4"/>
    </row>
    <row r="41" spans="1:3" x14ac:dyDescent="0.25">
      <c r="B41" s="4"/>
      <c r="C41" s="4"/>
    </row>
    <row r="42" spans="1:3" x14ac:dyDescent="0.25">
      <c r="B42" s="4"/>
      <c r="C42" s="4"/>
    </row>
    <row r="43" spans="1:3" x14ac:dyDescent="0.25">
      <c r="B43" s="4"/>
      <c r="C43" s="4"/>
    </row>
    <row r="44" spans="1:3" x14ac:dyDescent="0.25">
      <c r="B44" s="4"/>
      <c r="C44" s="4"/>
    </row>
    <row r="45" spans="1:3" x14ac:dyDescent="0.25">
      <c r="B45" s="4"/>
      <c r="C45" s="4"/>
    </row>
    <row r="46" spans="1:3" x14ac:dyDescent="0.25">
      <c r="B46" s="4"/>
      <c r="C46" s="4"/>
    </row>
    <row r="47" spans="1:3" x14ac:dyDescent="0.25">
      <c r="B47" s="4"/>
      <c r="C47" s="4"/>
    </row>
    <row r="48" spans="1:3" x14ac:dyDescent="0.25">
      <c r="B48" s="4"/>
      <c r="C48" s="4"/>
    </row>
    <row r="49" spans="2:3" x14ac:dyDescent="0.25">
      <c r="B49" s="4"/>
      <c r="C49" s="4"/>
    </row>
    <row r="50" spans="2:3" x14ac:dyDescent="0.25">
      <c r="B50" s="4"/>
      <c r="C50" s="4"/>
    </row>
    <row r="51" spans="2:3" x14ac:dyDescent="0.25">
      <c r="B51" s="4"/>
      <c r="C51" s="4"/>
    </row>
    <row r="52" spans="2:3" x14ac:dyDescent="0.25">
      <c r="B52" s="4"/>
      <c r="C52" s="4"/>
    </row>
    <row r="53" spans="2:3" x14ac:dyDescent="0.25">
      <c r="B53" s="4"/>
      <c r="C53" s="4"/>
    </row>
    <row r="54" spans="2:3" x14ac:dyDescent="0.25">
      <c r="B54" s="4"/>
      <c r="C54" s="4"/>
    </row>
    <row r="55" spans="2:3" x14ac:dyDescent="0.25">
      <c r="B55" s="4"/>
      <c r="C55" s="4"/>
    </row>
    <row r="56" spans="2:3" x14ac:dyDescent="0.25">
      <c r="B56" s="4"/>
      <c r="C56" s="4"/>
    </row>
    <row r="57" spans="2:3" x14ac:dyDescent="0.25">
      <c r="B57" s="4"/>
      <c r="C57" s="4"/>
    </row>
    <row r="58" spans="2:3" x14ac:dyDescent="0.25">
      <c r="B58" s="4"/>
      <c r="C58" s="4"/>
    </row>
    <row r="59" spans="2:3" x14ac:dyDescent="0.25">
      <c r="B59" s="4"/>
      <c r="C59" s="4"/>
    </row>
    <row r="60" spans="2:3" x14ac:dyDescent="0.25">
      <c r="B60" s="4"/>
      <c r="C60" s="4"/>
    </row>
    <row r="61" spans="2:3" x14ac:dyDescent="0.25">
      <c r="B61" s="4"/>
      <c r="C61" s="4"/>
    </row>
    <row r="62" spans="2:3" x14ac:dyDescent="0.25">
      <c r="B62" s="4"/>
      <c r="C62" s="4"/>
    </row>
    <row r="63" spans="2:3" x14ac:dyDescent="0.25">
      <c r="B63" s="4"/>
      <c r="C63" s="4"/>
    </row>
    <row r="64" spans="2:3" x14ac:dyDescent="0.25">
      <c r="B64" s="4"/>
      <c r="C64" s="4"/>
    </row>
    <row r="65" spans="2:3" x14ac:dyDescent="0.25">
      <c r="B65" s="4"/>
      <c r="C65" s="4"/>
    </row>
    <row r="66" spans="2:3" x14ac:dyDescent="0.25">
      <c r="B66" s="4"/>
      <c r="C66" s="4"/>
    </row>
    <row r="67" spans="2:3" x14ac:dyDescent="0.25">
      <c r="B67" s="4"/>
      <c r="C67" s="4"/>
    </row>
    <row r="68" spans="2:3" x14ac:dyDescent="0.25">
      <c r="B68" s="4"/>
      <c r="C68" s="4"/>
    </row>
    <row r="69" spans="2:3" x14ac:dyDescent="0.25">
      <c r="B69" s="4"/>
      <c r="C69" s="4"/>
    </row>
    <row r="70" spans="2:3" x14ac:dyDescent="0.25">
      <c r="B70" s="4"/>
      <c r="C70" s="4"/>
    </row>
    <row r="71" spans="2:3" x14ac:dyDescent="0.25">
      <c r="B71" s="4"/>
      <c r="C71" s="4"/>
    </row>
    <row r="72" spans="2:3" x14ac:dyDescent="0.25">
      <c r="B72" s="4"/>
      <c r="C72" s="4"/>
    </row>
    <row r="73" spans="2:3" x14ac:dyDescent="0.25">
      <c r="B73" s="4"/>
      <c r="C73" s="4"/>
    </row>
    <row r="74" spans="2:3" x14ac:dyDescent="0.25">
      <c r="B74" s="4"/>
      <c r="C74" s="4"/>
    </row>
    <row r="75" spans="2:3" x14ac:dyDescent="0.25">
      <c r="B75" s="4"/>
      <c r="C75" s="4"/>
    </row>
    <row r="76" spans="2:3" x14ac:dyDescent="0.25">
      <c r="B76" s="4"/>
      <c r="C76" s="4"/>
    </row>
    <row r="77" spans="2:3" x14ac:dyDescent="0.25">
      <c r="B77" s="4"/>
      <c r="C77" s="4"/>
    </row>
    <row r="78" spans="2:3" x14ac:dyDescent="0.25">
      <c r="B78" s="4"/>
      <c r="C78" s="4"/>
    </row>
    <row r="79" spans="2:3" x14ac:dyDescent="0.25">
      <c r="B79" s="4"/>
      <c r="C79" s="4"/>
    </row>
    <row r="80" spans="2:3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  <row r="89" spans="2:3" x14ac:dyDescent="0.25">
      <c r="B89" s="4"/>
      <c r="C89" s="4"/>
    </row>
    <row r="90" spans="2:3" x14ac:dyDescent="0.25">
      <c r="B90" s="4"/>
      <c r="C90" s="4"/>
    </row>
    <row r="91" spans="2:3" x14ac:dyDescent="0.25">
      <c r="B91" s="4"/>
      <c r="C91" s="4"/>
    </row>
    <row r="92" spans="2:3" x14ac:dyDescent="0.25">
      <c r="B92" s="4"/>
      <c r="C92" s="4"/>
    </row>
    <row r="93" spans="2:3" x14ac:dyDescent="0.25">
      <c r="B93" s="4"/>
      <c r="C93" s="4"/>
    </row>
    <row r="94" spans="2:3" x14ac:dyDescent="0.25">
      <c r="B94" s="4"/>
      <c r="C94" s="4"/>
    </row>
    <row r="95" spans="2:3" x14ac:dyDescent="0.25">
      <c r="B95" s="4"/>
      <c r="C95" s="4"/>
    </row>
    <row r="96" spans="2:3" x14ac:dyDescent="0.25">
      <c r="B96" s="4"/>
      <c r="C96" s="4"/>
    </row>
    <row r="97" spans="2:3" x14ac:dyDescent="0.25">
      <c r="B97" s="4"/>
      <c r="C97" s="4"/>
    </row>
    <row r="98" spans="2:3" x14ac:dyDescent="0.25">
      <c r="B98" s="4"/>
      <c r="C98" s="4"/>
    </row>
    <row r="99" spans="2:3" x14ac:dyDescent="0.25">
      <c r="B99" s="4"/>
      <c r="C99" s="4"/>
    </row>
    <row r="100" spans="2:3" x14ac:dyDescent="0.25">
      <c r="B100" s="4"/>
      <c r="C100" s="4"/>
    </row>
    <row r="101" spans="2:3" x14ac:dyDescent="0.25">
      <c r="B101" s="4"/>
      <c r="C101" s="4"/>
    </row>
    <row r="102" spans="2:3" x14ac:dyDescent="0.25">
      <c r="B102" s="4"/>
      <c r="C102" s="4"/>
    </row>
    <row r="103" spans="2:3" x14ac:dyDescent="0.25">
      <c r="B103" s="4"/>
      <c r="C103" s="4"/>
    </row>
    <row r="104" spans="2:3" x14ac:dyDescent="0.25">
      <c r="B104" s="4"/>
      <c r="C104" s="4"/>
    </row>
    <row r="105" spans="2:3" x14ac:dyDescent="0.25">
      <c r="B105" s="4"/>
      <c r="C105" s="4"/>
    </row>
    <row r="106" spans="2:3" x14ac:dyDescent="0.25">
      <c r="B106" s="4"/>
      <c r="C106" s="4"/>
    </row>
    <row r="107" spans="2:3" x14ac:dyDescent="0.25">
      <c r="B107" s="4"/>
      <c r="C107" s="4"/>
    </row>
    <row r="108" spans="2:3" x14ac:dyDescent="0.25">
      <c r="B108" s="4"/>
      <c r="C108" s="4"/>
    </row>
    <row r="109" spans="2:3" x14ac:dyDescent="0.25">
      <c r="B109" s="4"/>
      <c r="C109" s="4"/>
    </row>
    <row r="110" spans="2:3" x14ac:dyDescent="0.25">
      <c r="B110" s="4"/>
      <c r="C110" s="4"/>
    </row>
    <row r="111" spans="2:3" x14ac:dyDescent="0.25">
      <c r="B111" s="4"/>
      <c r="C111" s="4"/>
    </row>
    <row r="112" spans="2:3" x14ac:dyDescent="0.25">
      <c r="B112" s="4"/>
      <c r="C112" s="4"/>
    </row>
    <row r="113" spans="2:3" x14ac:dyDescent="0.25">
      <c r="B113" s="4"/>
      <c r="C113" s="4"/>
    </row>
    <row r="114" spans="2:3" x14ac:dyDescent="0.25">
      <c r="B114" s="4"/>
      <c r="C114" s="4"/>
    </row>
    <row r="115" spans="2:3" x14ac:dyDescent="0.25">
      <c r="B115" s="4"/>
      <c r="C115" s="4"/>
    </row>
    <row r="116" spans="2:3" x14ac:dyDescent="0.25">
      <c r="B116" s="4"/>
      <c r="C116" s="4"/>
    </row>
    <row r="117" spans="2:3" x14ac:dyDescent="0.25">
      <c r="B117" s="4"/>
      <c r="C117" s="4"/>
    </row>
    <row r="118" spans="2:3" x14ac:dyDescent="0.25">
      <c r="B118" s="4"/>
      <c r="C118" s="4"/>
    </row>
    <row r="119" spans="2:3" x14ac:dyDescent="0.25">
      <c r="B119" s="4"/>
      <c r="C119" s="4"/>
    </row>
    <row r="120" spans="2:3" x14ac:dyDescent="0.25">
      <c r="B120" s="4"/>
      <c r="C120" s="4"/>
    </row>
    <row r="121" spans="2:3" x14ac:dyDescent="0.25">
      <c r="B121" s="4"/>
      <c r="C121" s="4"/>
    </row>
    <row r="122" spans="2:3" x14ac:dyDescent="0.25">
      <c r="B122" s="4"/>
      <c r="C122" s="4"/>
    </row>
    <row r="123" spans="2:3" x14ac:dyDescent="0.25">
      <c r="B123" s="4"/>
      <c r="C123" s="4"/>
    </row>
    <row r="124" spans="2:3" x14ac:dyDescent="0.25">
      <c r="B124" s="4"/>
      <c r="C124" s="4"/>
    </row>
    <row r="125" spans="2:3" x14ac:dyDescent="0.25">
      <c r="B125" s="4"/>
      <c r="C125" s="4"/>
    </row>
    <row r="126" spans="2:3" x14ac:dyDescent="0.25">
      <c r="B126" s="4"/>
      <c r="C126" s="4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20AB8-2398-4C31-A2B1-1E135ED5F7D8}">
  <dimension ref="A1:H103"/>
  <sheetViews>
    <sheetView zoomScale="112" zoomScaleNormal="112" workbookViewId="0">
      <selection activeCell="A7" sqref="A7"/>
    </sheetView>
  </sheetViews>
  <sheetFormatPr defaultRowHeight="15" x14ac:dyDescent="0.25"/>
  <cols>
    <col min="1" max="1" width="44.85546875" customWidth="1"/>
  </cols>
  <sheetData>
    <row r="1" spans="1:2" ht="23.25" x14ac:dyDescent="0.35">
      <c r="A1" s="1" t="s">
        <v>110</v>
      </c>
    </row>
    <row r="2" spans="1:2" x14ac:dyDescent="0.25">
      <c r="A2" t="s">
        <v>90</v>
      </c>
    </row>
    <row r="4" spans="1:2" x14ac:dyDescent="0.25">
      <c r="A4" t="s">
        <v>107</v>
      </c>
    </row>
    <row r="6" spans="1:2" x14ac:dyDescent="0.25">
      <c r="A6" s="2" t="s">
        <v>35</v>
      </c>
    </row>
    <row r="7" spans="1:2" x14ac:dyDescent="0.25">
      <c r="A7" s="2" t="s">
        <v>119</v>
      </c>
    </row>
    <row r="13" spans="1:2" x14ac:dyDescent="0.25">
      <c r="A13" s="7" t="s">
        <v>40</v>
      </c>
    </row>
    <row r="15" spans="1:2" x14ac:dyDescent="0.25">
      <c r="B15" t="s">
        <v>91</v>
      </c>
    </row>
    <row r="17" spans="1:2" ht="18" x14ac:dyDescent="0.35">
      <c r="A17" t="s">
        <v>88</v>
      </c>
      <c r="B17" t="s">
        <v>92</v>
      </c>
    </row>
    <row r="18" spans="1:2" ht="18" x14ac:dyDescent="0.35">
      <c r="A18" t="s">
        <v>87</v>
      </c>
      <c r="B18" t="s">
        <v>86</v>
      </c>
    </row>
    <row r="19" spans="1:2" ht="18" x14ac:dyDescent="0.35">
      <c r="A19" t="s">
        <v>85</v>
      </c>
      <c r="B19" t="s">
        <v>84</v>
      </c>
    </row>
    <row r="31" spans="1:2" x14ac:dyDescent="0.25">
      <c r="B31" t="s">
        <v>83</v>
      </c>
    </row>
    <row r="33" spans="1:3" x14ac:dyDescent="0.25">
      <c r="A33" t="s">
        <v>82</v>
      </c>
      <c r="B33" t="s">
        <v>93</v>
      </c>
    </row>
    <row r="34" spans="1:3" x14ac:dyDescent="0.25">
      <c r="A34" t="s">
        <v>81</v>
      </c>
      <c r="B34" t="s">
        <v>114</v>
      </c>
    </row>
    <row r="35" spans="1:3" ht="18" x14ac:dyDescent="0.35">
      <c r="A35" t="s">
        <v>80</v>
      </c>
      <c r="B35" t="s">
        <v>113</v>
      </c>
    </row>
    <row r="37" spans="1:3" x14ac:dyDescent="0.25">
      <c r="A37" t="s">
        <v>89</v>
      </c>
    </row>
    <row r="42" spans="1:3" x14ac:dyDescent="0.25">
      <c r="A42" s="7" t="s">
        <v>31</v>
      </c>
    </row>
    <row r="44" spans="1:3" x14ac:dyDescent="0.25">
      <c r="A44" s="7" t="s">
        <v>99</v>
      </c>
    </row>
    <row r="46" spans="1:3" x14ac:dyDescent="0.25">
      <c r="A46" t="s">
        <v>97</v>
      </c>
      <c r="B46" s="5">
        <v>2400</v>
      </c>
      <c r="C46" t="s">
        <v>78</v>
      </c>
    </row>
    <row r="47" spans="1:3" x14ac:dyDescent="0.25">
      <c r="A47" t="s">
        <v>96</v>
      </c>
      <c r="B47" s="9">
        <v>0.83169999999999999</v>
      </c>
      <c r="C47" t="s">
        <v>76</v>
      </c>
    </row>
    <row r="48" spans="1:3" x14ac:dyDescent="0.25">
      <c r="A48" t="s">
        <v>98</v>
      </c>
      <c r="B48" s="10">
        <v>298</v>
      </c>
      <c r="C48" t="s">
        <v>78</v>
      </c>
    </row>
    <row r="49" spans="1:8" x14ac:dyDescent="0.25">
      <c r="A49" t="s">
        <v>111</v>
      </c>
      <c r="B49" s="10">
        <v>20</v>
      </c>
      <c r="C49" t="s">
        <v>79</v>
      </c>
    </row>
    <row r="50" spans="1:8" x14ac:dyDescent="0.25">
      <c r="A50" t="s">
        <v>112</v>
      </c>
      <c r="B50" s="4">
        <f>B49+273.15</f>
        <v>293.14999999999998</v>
      </c>
      <c r="C50" t="s">
        <v>78</v>
      </c>
    </row>
    <row r="52" spans="1:8" x14ac:dyDescent="0.25">
      <c r="A52" t="s">
        <v>77</v>
      </c>
      <c r="B52">
        <f>B47/EXP(-B46*(1/B50-1/B48))</f>
        <v>0.95024090809027395</v>
      </c>
      <c r="C52" t="s">
        <v>76</v>
      </c>
    </row>
    <row r="53" spans="1:8" x14ac:dyDescent="0.25">
      <c r="B53" s="8"/>
    </row>
    <row r="54" spans="1:8" x14ac:dyDescent="0.25">
      <c r="B54" s="8"/>
    </row>
    <row r="55" spans="1:8" x14ac:dyDescent="0.25">
      <c r="A55" s="7" t="s">
        <v>101</v>
      </c>
      <c r="B55" s="8"/>
    </row>
    <row r="56" spans="1:8" x14ac:dyDescent="0.25">
      <c r="B56" s="8"/>
      <c r="F56" t="s">
        <v>75</v>
      </c>
    </row>
    <row r="57" spans="1:8" x14ac:dyDescent="0.25">
      <c r="A57" t="s">
        <v>74</v>
      </c>
      <c r="B57" s="9">
        <v>150</v>
      </c>
      <c r="C57" t="s">
        <v>66</v>
      </c>
      <c r="F57" t="s">
        <v>73</v>
      </c>
      <c r="G57" t="s">
        <v>105</v>
      </c>
      <c r="H57" t="s">
        <v>94</v>
      </c>
    </row>
    <row r="58" spans="1:8" x14ac:dyDescent="0.25">
      <c r="A58" t="s">
        <v>106</v>
      </c>
      <c r="B58" s="9">
        <v>180</v>
      </c>
      <c r="F58" t="s">
        <v>72</v>
      </c>
      <c r="G58">
        <v>342</v>
      </c>
      <c r="H58">
        <v>4</v>
      </c>
    </row>
    <row r="59" spans="1:8" x14ac:dyDescent="0.25">
      <c r="A59" t="s">
        <v>71</v>
      </c>
      <c r="B59" s="8">
        <f>B57/B58</f>
        <v>0.83333333333333337</v>
      </c>
      <c r="C59" t="s">
        <v>52</v>
      </c>
      <c r="F59" t="s">
        <v>70</v>
      </c>
      <c r="G59">
        <v>180</v>
      </c>
      <c r="H59">
        <v>2</v>
      </c>
    </row>
    <row r="60" spans="1:8" x14ac:dyDescent="0.25">
      <c r="A60" t="s">
        <v>95</v>
      </c>
      <c r="B60" s="9">
        <v>2</v>
      </c>
      <c r="F60" t="s">
        <v>69</v>
      </c>
      <c r="G60">
        <v>342</v>
      </c>
      <c r="H60">
        <v>4</v>
      </c>
    </row>
    <row r="61" spans="1:8" x14ac:dyDescent="0.25">
      <c r="A61" t="s">
        <v>68</v>
      </c>
      <c r="B61" s="8">
        <f>B59*B60</f>
        <v>1.6666666666666667</v>
      </c>
      <c r="C61" t="s">
        <v>52</v>
      </c>
    </row>
    <row r="62" spans="1:8" x14ac:dyDescent="0.25">
      <c r="A62" t="s">
        <v>104</v>
      </c>
      <c r="B62">
        <v>44</v>
      </c>
    </row>
    <row r="63" spans="1:8" x14ac:dyDescent="0.25">
      <c r="A63" t="s">
        <v>67</v>
      </c>
      <c r="B63">
        <f>B61*B62</f>
        <v>73.333333333333343</v>
      </c>
      <c r="C63" t="s">
        <v>66</v>
      </c>
    </row>
    <row r="65" spans="1:3" x14ac:dyDescent="0.25">
      <c r="A65" t="s">
        <v>108</v>
      </c>
      <c r="B65">
        <f>B61*22.4</f>
        <v>37.333333333333336</v>
      </c>
      <c r="C65" t="s">
        <v>64</v>
      </c>
    </row>
    <row r="67" spans="1:3" x14ac:dyDescent="0.25">
      <c r="A67" t="s">
        <v>109</v>
      </c>
      <c r="B67" s="5">
        <v>20.2</v>
      </c>
      <c r="C67" t="s">
        <v>64</v>
      </c>
    </row>
    <row r="68" spans="1:3" x14ac:dyDescent="0.25">
      <c r="A68" t="s">
        <v>65</v>
      </c>
      <c r="B68" s="5">
        <v>19.600000000000001</v>
      </c>
      <c r="C68" t="s">
        <v>64</v>
      </c>
    </row>
    <row r="69" spans="1:3" x14ac:dyDescent="0.25">
      <c r="A69" t="s">
        <v>63</v>
      </c>
      <c r="B69">
        <f>B67-B68</f>
        <v>0.59999999999999787</v>
      </c>
      <c r="C69" t="s">
        <v>26</v>
      </c>
    </row>
    <row r="78" spans="1:3" x14ac:dyDescent="0.25">
      <c r="A78" t="s">
        <v>62</v>
      </c>
      <c r="B78">
        <f>B61/(B52*B68+B69)</f>
        <v>8.6693929000870834E-2</v>
      </c>
      <c r="C78" t="s">
        <v>61</v>
      </c>
    </row>
    <row r="79" spans="1:3" x14ac:dyDescent="0.25">
      <c r="A79" t="s">
        <v>100</v>
      </c>
      <c r="B79">
        <f>B78*B69</f>
        <v>5.2016357400522316E-2</v>
      </c>
      <c r="C79" t="s">
        <v>52</v>
      </c>
    </row>
    <row r="82" spans="1:3" x14ac:dyDescent="0.25">
      <c r="A82" s="7" t="s">
        <v>60</v>
      </c>
    </row>
    <row r="84" spans="1:3" x14ac:dyDescent="0.25">
      <c r="A84" t="s">
        <v>59</v>
      </c>
      <c r="B84">
        <f>B79*22.4</f>
        <v>1.1651664057716997</v>
      </c>
      <c r="C84" t="s">
        <v>26</v>
      </c>
    </row>
    <row r="85" spans="1:3" x14ac:dyDescent="0.25">
      <c r="A85" t="s">
        <v>58</v>
      </c>
      <c r="B85">
        <f>B84/B65*100</f>
        <v>3.1209814440313384</v>
      </c>
      <c r="C85" t="s">
        <v>9</v>
      </c>
    </row>
    <row r="86" spans="1:3" x14ac:dyDescent="0.25">
      <c r="A86" t="s">
        <v>57</v>
      </c>
      <c r="B86">
        <f>14.7*B84/B69*B50/B48</f>
        <v>28.081976611991227</v>
      </c>
      <c r="C86" t="s">
        <v>24</v>
      </c>
    </row>
    <row r="89" spans="1:3" x14ac:dyDescent="0.25">
      <c r="A89" s="7" t="s">
        <v>56</v>
      </c>
    </row>
    <row r="90" spans="1:3" x14ac:dyDescent="0.25">
      <c r="A90" s="7"/>
    </row>
    <row r="91" spans="1:3" x14ac:dyDescent="0.25">
      <c r="A91" t="s">
        <v>55</v>
      </c>
      <c r="B91" s="8">
        <f>B61-B79</f>
        <v>1.6146503092661444</v>
      </c>
      <c r="C91" t="s">
        <v>52</v>
      </c>
    </row>
    <row r="92" spans="1:3" x14ac:dyDescent="0.25">
      <c r="A92" t="s">
        <v>54</v>
      </c>
      <c r="B92">
        <f>B91*22.4</f>
        <v>36.168166927561629</v>
      </c>
      <c r="C92" t="s">
        <v>26</v>
      </c>
    </row>
    <row r="93" spans="1:3" x14ac:dyDescent="0.25">
      <c r="A93" t="s">
        <v>53</v>
      </c>
      <c r="B93" s="12">
        <f>B92/B68</f>
        <v>1.8453146391613076</v>
      </c>
    </row>
    <row r="96" spans="1:3" x14ac:dyDescent="0.25">
      <c r="A96" s="7" t="s">
        <v>115</v>
      </c>
    </row>
    <row r="98" spans="1:3" x14ac:dyDescent="0.25">
      <c r="A98" t="s">
        <v>102</v>
      </c>
      <c r="B98" s="8">
        <f>B61</f>
        <v>1.6666666666666667</v>
      </c>
      <c r="C98" t="s">
        <v>52</v>
      </c>
    </row>
    <row r="99" spans="1:3" x14ac:dyDescent="0.25">
      <c r="A99" t="s">
        <v>103</v>
      </c>
      <c r="B99">
        <v>46</v>
      </c>
    </row>
    <row r="100" spans="1:3" x14ac:dyDescent="0.25">
      <c r="A100" t="s">
        <v>51</v>
      </c>
      <c r="B100">
        <f>B98*B99</f>
        <v>76.666666666666671</v>
      </c>
      <c r="C100" t="s">
        <v>47</v>
      </c>
    </row>
    <row r="101" spans="1:3" x14ac:dyDescent="0.25">
      <c r="A101" t="s">
        <v>50</v>
      </c>
      <c r="B101">
        <f>B100/B68/10</f>
        <v>0.391156462585034</v>
      </c>
      <c r="C101" t="s">
        <v>49</v>
      </c>
    </row>
    <row r="102" spans="1:3" x14ac:dyDescent="0.25">
      <c r="A102" t="s">
        <v>48</v>
      </c>
      <c r="B102">
        <v>0.78900000000000003</v>
      </c>
      <c r="C102" t="s">
        <v>47</v>
      </c>
    </row>
    <row r="103" spans="1:3" x14ac:dyDescent="0.25">
      <c r="A103" t="s">
        <v>46</v>
      </c>
      <c r="B103" s="12">
        <f>B101/B102</f>
        <v>0.49576230999370596</v>
      </c>
      <c r="C103" t="s">
        <v>45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4E0B4-41ED-4007-A7DE-67B1840277A2}">
  <dimension ref="A1:E89"/>
  <sheetViews>
    <sheetView zoomScale="112" zoomScaleNormal="112" workbookViewId="0">
      <selection activeCell="A7" sqref="A7"/>
    </sheetView>
  </sheetViews>
  <sheetFormatPr defaultRowHeight="15" x14ac:dyDescent="0.25"/>
  <cols>
    <col min="1" max="1" width="44.85546875" customWidth="1"/>
  </cols>
  <sheetData>
    <row r="1" spans="1:2" ht="23.25" x14ac:dyDescent="0.35">
      <c r="A1" s="1" t="s">
        <v>117</v>
      </c>
    </row>
    <row r="2" spans="1:2" x14ac:dyDescent="0.25">
      <c r="A2" t="s">
        <v>118</v>
      </c>
    </row>
    <row r="4" spans="1:2" x14ac:dyDescent="0.25">
      <c r="A4" t="s">
        <v>116</v>
      </c>
    </row>
    <row r="6" spans="1:2" x14ac:dyDescent="0.25">
      <c r="A6" s="2" t="s">
        <v>35</v>
      </c>
    </row>
    <row r="7" spans="1:2" x14ac:dyDescent="0.25">
      <c r="A7" s="2" t="s">
        <v>119</v>
      </c>
    </row>
    <row r="13" spans="1:2" x14ac:dyDescent="0.25">
      <c r="A13" s="7" t="s">
        <v>40</v>
      </c>
    </row>
    <row r="15" spans="1:2" x14ac:dyDescent="0.25">
      <c r="B15" t="s">
        <v>91</v>
      </c>
    </row>
    <row r="17" spans="1:2" ht="18" x14ac:dyDescent="0.35">
      <c r="A17" t="s">
        <v>88</v>
      </c>
      <c r="B17" t="s">
        <v>92</v>
      </c>
    </row>
    <row r="18" spans="1:2" ht="18" x14ac:dyDescent="0.35">
      <c r="A18" t="s">
        <v>87</v>
      </c>
      <c r="B18" t="s">
        <v>86</v>
      </c>
    </row>
    <row r="19" spans="1:2" ht="18" x14ac:dyDescent="0.35">
      <c r="A19" t="s">
        <v>85</v>
      </c>
      <c r="B19" t="s">
        <v>84</v>
      </c>
    </row>
    <row r="31" spans="1:2" x14ac:dyDescent="0.25">
      <c r="B31" t="s">
        <v>83</v>
      </c>
    </row>
    <row r="33" spans="1:3" x14ac:dyDescent="0.25">
      <c r="A33" t="s">
        <v>82</v>
      </c>
      <c r="B33" t="s">
        <v>93</v>
      </c>
    </row>
    <row r="34" spans="1:3" x14ac:dyDescent="0.25">
      <c r="A34" t="s">
        <v>81</v>
      </c>
      <c r="B34" t="s">
        <v>114</v>
      </c>
    </row>
    <row r="35" spans="1:3" ht="18" x14ac:dyDescent="0.35">
      <c r="A35" t="s">
        <v>80</v>
      </c>
      <c r="B35" t="s">
        <v>113</v>
      </c>
    </row>
    <row r="37" spans="1:3" x14ac:dyDescent="0.25">
      <c r="A37" t="s">
        <v>89</v>
      </c>
    </row>
    <row r="42" spans="1:3" x14ac:dyDescent="0.25">
      <c r="A42" s="7" t="s">
        <v>31</v>
      </c>
    </row>
    <row r="44" spans="1:3" x14ac:dyDescent="0.25">
      <c r="A44" s="7" t="s">
        <v>99</v>
      </c>
    </row>
    <row r="46" spans="1:3" x14ac:dyDescent="0.25">
      <c r="A46" t="s">
        <v>97</v>
      </c>
      <c r="B46" s="5">
        <v>2400</v>
      </c>
      <c r="C46" t="s">
        <v>78</v>
      </c>
    </row>
    <row r="47" spans="1:3" x14ac:dyDescent="0.25">
      <c r="A47" t="s">
        <v>96</v>
      </c>
      <c r="B47" s="9">
        <v>0.83169999999999999</v>
      </c>
      <c r="C47" t="s">
        <v>76</v>
      </c>
    </row>
    <row r="48" spans="1:3" x14ac:dyDescent="0.25">
      <c r="A48" t="s">
        <v>98</v>
      </c>
      <c r="B48" s="10">
        <v>298</v>
      </c>
      <c r="C48" t="s">
        <v>78</v>
      </c>
    </row>
    <row r="49" spans="1:3" x14ac:dyDescent="0.25">
      <c r="A49" t="s">
        <v>111</v>
      </c>
      <c r="B49" s="10">
        <v>20</v>
      </c>
      <c r="C49" t="s">
        <v>79</v>
      </c>
    </row>
    <row r="50" spans="1:3" x14ac:dyDescent="0.25">
      <c r="A50" t="s">
        <v>112</v>
      </c>
      <c r="B50" s="4">
        <f>B49+273.15</f>
        <v>293.14999999999998</v>
      </c>
      <c r="C50" t="s">
        <v>78</v>
      </c>
    </row>
    <row r="52" spans="1:3" x14ac:dyDescent="0.25">
      <c r="A52" t="s">
        <v>77</v>
      </c>
      <c r="B52">
        <f>B47/EXP(-B46*(1/B50-1/B48))</f>
        <v>0.95024090809027395</v>
      </c>
      <c r="C52" t="s">
        <v>76</v>
      </c>
    </row>
    <row r="53" spans="1:3" x14ac:dyDescent="0.25">
      <c r="B53" s="8"/>
    </row>
    <row r="54" spans="1:3" x14ac:dyDescent="0.25">
      <c r="B54" s="8"/>
    </row>
    <row r="55" spans="1:3" x14ac:dyDescent="0.25">
      <c r="A55" s="7" t="s">
        <v>124</v>
      </c>
      <c r="B55" s="8"/>
    </row>
    <row r="56" spans="1:3" x14ac:dyDescent="0.25">
      <c r="B56" s="8"/>
    </row>
    <row r="57" spans="1:3" x14ac:dyDescent="0.25">
      <c r="A57" t="s">
        <v>109</v>
      </c>
      <c r="B57" s="5">
        <v>20.2</v>
      </c>
      <c r="C57" t="s">
        <v>64</v>
      </c>
    </row>
    <row r="58" spans="1:3" x14ac:dyDescent="0.25">
      <c r="A58" t="s">
        <v>65</v>
      </c>
      <c r="B58" s="5">
        <v>19.600000000000001</v>
      </c>
      <c r="C58" t="s">
        <v>64</v>
      </c>
    </row>
    <row r="59" spans="1:3" x14ac:dyDescent="0.25">
      <c r="A59" t="s">
        <v>63</v>
      </c>
      <c r="B59">
        <f>B57-B58</f>
        <v>0.59999999999999787</v>
      </c>
      <c r="C59" t="s">
        <v>26</v>
      </c>
    </row>
    <row r="62" spans="1:3" x14ac:dyDescent="0.25">
      <c r="A62" s="7" t="s">
        <v>125</v>
      </c>
    </row>
    <row r="64" spans="1:3" x14ac:dyDescent="0.25">
      <c r="A64" t="s">
        <v>120</v>
      </c>
      <c r="B64" s="5">
        <v>40</v>
      </c>
      <c r="C64" t="s">
        <v>64</v>
      </c>
    </row>
    <row r="65" spans="1:5" x14ac:dyDescent="0.25">
      <c r="A65" t="s">
        <v>121</v>
      </c>
      <c r="B65">
        <f>B64/22.4</f>
        <v>1.7857142857142858</v>
      </c>
    </row>
    <row r="68" spans="1:5" x14ac:dyDescent="0.25">
      <c r="A68" s="7" t="s">
        <v>122</v>
      </c>
    </row>
    <row r="69" spans="1:5" x14ac:dyDescent="0.25">
      <c r="A69" s="7"/>
    </row>
    <row r="77" spans="1:5" x14ac:dyDescent="0.25">
      <c r="A77" t="s">
        <v>123</v>
      </c>
      <c r="B77">
        <f>B65/(B52*B58+B59)</f>
        <v>9.2886352500933037E-2</v>
      </c>
      <c r="C77" t="s">
        <v>61</v>
      </c>
      <c r="E77" s="13" t="s">
        <v>129</v>
      </c>
    </row>
    <row r="78" spans="1:5" x14ac:dyDescent="0.25">
      <c r="A78" t="s">
        <v>100</v>
      </c>
      <c r="B78">
        <f>B77*B59</f>
        <v>5.5731811500559621E-2</v>
      </c>
      <c r="C78" t="s">
        <v>52</v>
      </c>
    </row>
    <row r="80" spans="1:5" x14ac:dyDescent="0.25">
      <c r="A80" t="s">
        <v>59</v>
      </c>
      <c r="B80">
        <f>B78*22.4</f>
        <v>1.2483925776125355</v>
      </c>
      <c r="C80" t="s">
        <v>26</v>
      </c>
    </row>
    <row r="81" spans="1:4" x14ac:dyDescent="0.25">
      <c r="A81" t="s">
        <v>58</v>
      </c>
      <c r="B81">
        <f>B80/B64*100</f>
        <v>3.1209814440313388</v>
      </c>
      <c r="C81" t="s">
        <v>9</v>
      </c>
    </row>
    <row r="82" spans="1:4" x14ac:dyDescent="0.25">
      <c r="A82" t="s">
        <v>57</v>
      </c>
      <c r="B82" s="12">
        <f>14.7*B80/B59*B50/B48</f>
        <v>30.087832084276315</v>
      </c>
      <c r="C82" t="s">
        <v>126</v>
      </c>
      <c r="D82" s="13" t="s">
        <v>127</v>
      </c>
    </row>
    <row r="85" spans="1:4" x14ac:dyDescent="0.25">
      <c r="A85" s="7" t="s">
        <v>56</v>
      </c>
    </row>
    <row r="86" spans="1:4" x14ac:dyDescent="0.25">
      <c r="A86" s="7"/>
    </row>
    <row r="87" spans="1:4" x14ac:dyDescent="0.25">
      <c r="A87" t="s">
        <v>55</v>
      </c>
      <c r="B87" s="8">
        <f>B65-B78</f>
        <v>1.7299824742137262</v>
      </c>
      <c r="C87" t="s">
        <v>52</v>
      </c>
    </row>
    <row r="88" spans="1:4" x14ac:dyDescent="0.25">
      <c r="A88" t="s">
        <v>54</v>
      </c>
      <c r="B88">
        <f>B87*22.4</f>
        <v>38.751607422387465</v>
      </c>
      <c r="C88" t="s">
        <v>26</v>
      </c>
    </row>
    <row r="89" spans="1:4" x14ac:dyDescent="0.25">
      <c r="A89" t="s">
        <v>53</v>
      </c>
      <c r="B89" s="12">
        <f>B88/B58</f>
        <v>1.9771228276728297</v>
      </c>
      <c r="D89" s="13" t="s">
        <v>128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8E6D-56F5-443D-8AE1-C644C5C0A390}">
  <dimension ref="A1:E88"/>
  <sheetViews>
    <sheetView topLeftCell="A24" zoomScale="112" zoomScaleNormal="112" workbookViewId="0">
      <selection activeCell="E101" sqref="E101"/>
    </sheetView>
  </sheetViews>
  <sheetFormatPr defaultRowHeight="15" x14ac:dyDescent="0.25"/>
  <cols>
    <col min="1" max="1" width="44.85546875" customWidth="1"/>
    <col min="2" max="2" width="11.140625" bestFit="1" customWidth="1"/>
  </cols>
  <sheetData>
    <row r="1" spans="1:2" ht="23.25" x14ac:dyDescent="0.35">
      <c r="A1" s="1" t="s">
        <v>149</v>
      </c>
    </row>
    <row r="2" spans="1:2" x14ac:dyDescent="0.25">
      <c r="A2" t="s">
        <v>118</v>
      </c>
    </row>
    <row r="4" spans="1:2" x14ac:dyDescent="0.25">
      <c r="A4" t="s">
        <v>150</v>
      </c>
    </row>
    <row r="6" spans="1:2" x14ac:dyDescent="0.25">
      <c r="A6" s="2" t="s">
        <v>35</v>
      </c>
    </row>
    <row r="7" spans="1:2" x14ac:dyDescent="0.25">
      <c r="A7" s="2" t="s">
        <v>119</v>
      </c>
    </row>
    <row r="13" spans="1:2" x14ac:dyDescent="0.25">
      <c r="A13" s="7" t="s">
        <v>40</v>
      </c>
    </row>
    <row r="15" spans="1:2" x14ac:dyDescent="0.25">
      <c r="B15" t="s">
        <v>91</v>
      </c>
    </row>
    <row r="17" spans="1:2" ht="18" x14ac:dyDescent="0.35">
      <c r="A17" t="s">
        <v>88</v>
      </c>
      <c r="B17" t="s">
        <v>92</v>
      </c>
    </row>
    <row r="18" spans="1:2" ht="18" x14ac:dyDescent="0.35">
      <c r="A18" t="s">
        <v>87</v>
      </c>
      <c r="B18" t="s">
        <v>86</v>
      </c>
    </row>
    <row r="19" spans="1:2" ht="18" x14ac:dyDescent="0.35">
      <c r="A19" t="s">
        <v>85</v>
      </c>
      <c r="B19" t="s">
        <v>84</v>
      </c>
    </row>
    <row r="31" spans="1:2" x14ac:dyDescent="0.25">
      <c r="B31" t="s">
        <v>83</v>
      </c>
    </row>
    <row r="33" spans="1:3" x14ac:dyDescent="0.25">
      <c r="A33" t="s">
        <v>82</v>
      </c>
      <c r="B33" t="s">
        <v>93</v>
      </c>
    </row>
    <row r="34" spans="1:3" x14ac:dyDescent="0.25">
      <c r="A34" t="s">
        <v>81</v>
      </c>
      <c r="B34" t="s">
        <v>114</v>
      </c>
    </row>
    <row r="35" spans="1:3" ht="18" x14ac:dyDescent="0.35">
      <c r="A35" t="s">
        <v>80</v>
      </c>
      <c r="B35" t="s">
        <v>113</v>
      </c>
    </row>
    <row r="36" spans="1:3" ht="18" x14ac:dyDescent="0.35"/>
    <row r="37" spans="1:3" x14ac:dyDescent="0.25">
      <c r="A37" t="s">
        <v>89</v>
      </c>
    </row>
    <row r="42" spans="1:3" x14ac:dyDescent="0.25">
      <c r="A42" s="7" t="s">
        <v>31</v>
      </c>
    </row>
    <row r="44" spans="1:3" x14ac:dyDescent="0.25">
      <c r="A44" s="7" t="s">
        <v>99</v>
      </c>
    </row>
    <row r="46" spans="1:3" x14ac:dyDescent="0.25">
      <c r="A46" t="s">
        <v>130</v>
      </c>
      <c r="B46" s="5">
        <v>1700</v>
      </c>
      <c r="C46" t="s">
        <v>78</v>
      </c>
    </row>
    <row r="47" spans="1:3" x14ac:dyDescent="0.25">
      <c r="A47" t="s">
        <v>131</v>
      </c>
      <c r="B47" s="9">
        <v>3.1800000000000002E-2</v>
      </c>
      <c r="C47" t="s">
        <v>76</v>
      </c>
    </row>
    <row r="48" spans="1:3" x14ac:dyDescent="0.25">
      <c r="A48" t="s">
        <v>98</v>
      </c>
      <c r="B48" s="10">
        <v>298</v>
      </c>
      <c r="C48" t="s">
        <v>78</v>
      </c>
    </row>
    <row r="49" spans="1:3" x14ac:dyDescent="0.25">
      <c r="A49" t="s">
        <v>111</v>
      </c>
      <c r="B49" s="10">
        <v>20</v>
      </c>
      <c r="C49" t="s">
        <v>79</v>
      </c>
    </row>
    <row r="50" spans="1:3" x14ac:dyDescent="0.25">
      <c r="A50" t="s">
        <v>112</v>
      </c>
      <c r="B50" s="4">
        <f>B49+273.15</f>
        <v>293.14999999999998</v>
      </c>
      <c r="C50" t="s">
        <v>78</v>
      </c>
    </row>
    <row r="52" spans="1:3" x14ac:dyDescent="0.25">
      <c r="A52" t="s">
        <v>132</v>
      </c>
      <c r="B52">
        <f>B47/EXP(-B46*(1/B50-1/B48))</f>
        <v>3.4947511800251879E-2</v>
      </c>
      <c r="C52" t="s">
        <v>76</v>
      </c>
    </row>
    <row r="53" spans="1:3" x14ac:dyDescent="0.25">
      <c r="B53" s="8"/>
    </row>
    <row r="54" spans="1:3" x14ac:dyDescent="0.25">
      <c r="B54" s="8"/>
    </row>
    <row r="55" spans="1:3" x14ac:dyDescent="0.25">
      <c r="A55" s="7" t="s">
        <v>124</v>
      </c>
      <c r="B55" s="8"/>
    </row>
    <row r="56" spans="1:3" x14ac:dyDescent="0.25">
      <c r="B56" s="8"/>
    </row>
    <row r="57" spans="1:3" x14ac:dyDescent="0.25">
      <c r="A57" t="s">
        <v>109</v>
      </c>
      <c r="B57" s="5">
        <v>20.2</v>
      </c>
      <c r="C57" t="s">
        <v>64</v>
      </c>
    </row>
    <row r="58" spans="1:3" x14ac:dyDescent="0.25">
      <c r="A58" t="s">
        <v>65</v>
      </c>
      <c r="B58" s="5">
        <v>19.600000000000001</v>
      </c>
      <c r="C58" t="s">
        <v>64</v>
      </c>
    </row>
    <row r="59" spans="1:3" x14ac:dyDescent="0.25">
      <c r="A59" t="s">
        <v>63</v>
      </c>
      <c r="B59">
        <f>B57-B58</f>
        <v>0.59999999999999787</v>
      </c>
      <c r="C59" t="s">
        <v>26</v>
      </c>
    </row>
    <row r="62" spans="1:3" x14ac:dyDescent="0.25">
      <c r="A62" s="7" t="s">
        <v>140</v>
      </c>
    </row>
    <row r="64" spans="1:3" x14ac:dyDescent="0.25">
      <c r="A64" t="s">
        <v>135</v>
      </c>
      <c r="B64" s="5">
        <v>0.6</v>
      </c>
      <c r="C64" t="s">
        <v>64</v>
      </c>
    </row>
    <row r="65" spans="1:5" x14ac:dyDescent="0.25">
      <c r="A65" t="s">
        <v>133</v>
      </c>
      <c r="B65" s="5">
        <v>2000</v>
      </c>
      <c r="C65" t="s">
        <v>134</v>
      </c>
      <c r="E65" s="13" t="s">
        <v>136</v>
      </c>
    </row>
    <row r="66" spans="1:5" x14ac:dyDescent="0.25">
      <c r="A66" t="s">
        <v>141</v>
      </c>
      <c r="B66">
        <f>B64*B65/22.4/1000000</f>
        <v>5.3571428571428575E-5</v>
      </c>
    </row>
    <row r="69" spans="1:5" x14ac:dyDescent="0.25">
      <c r="A69" s="7" t="s">
        <v>137</v>
      </c>
    </row>
    <row r="70" spans="1:5" x14ac:dyDescent="0.25">
      <c r="A70" s="7"/>
    </row>
    <row r="78" spans="1:5" x14ac:dyDescent="0.25">
      <c r="A78" t="s">
        <v>138</v>
      </c>
      <c r="B78">
        <f>B66/(B52*B58+B59)</f>
        <v>4.1690761059186255E-5</v>
      </c>
      <c r="C78" t="s">
        <v>61</v>
      </c>
      <c r="E78" s="13" t="s">
        <v>129</v>
      </c>
    </row>
    <row r="79" spans="1:5" x14ac:dyDescent="0.25">
      <c r="A79" t="s">
        <v>139</v>
      </c>
      <c r="B79">
        <f>B78*B59</f>
        <v>2.5014456635511665E-5</v>
      </c>
      <c r="C79" t="s">
        <v>52</v>
      </c>
    </row>
    <row r="82" spans="1:5" x14ac:dyDescent="0.25">
      <c r="A82" s="7" t="s">
        <v>143</v>
      </c>
    </row>
    <row r="83" spans="1:5" x14ac:dyDescent="0.25">
      <c r="A83" s="7"/>
    </row>
    <row r="84" spans="1:5" x14ac:dyDescent="0.25">
      <c r="A84" t="s">
        <v>55</v>
      </c>
      <c r="B84" s="14">
        <f>B66-B79</f>
        <v>2.855697193591691E-5</v>
      </c>
      <c r="C84" t="s">
        <v>52</v>
      </c>
    </row>
    <row r="85" spans="1:5" x14ac:dyDescent="0.25">
      <c r="A85" t="s">
        <v>144</v>
      </c>
      <c r="B85">
        <v>32</v>
      </c>
      <c r="C85" t="s">
        <v>66</v>
      </c>
    </row>
    <row r="86" spans="1:5" x14ac:dyDescent="0.25">
      <c r="A86" t="s">
        <v>145</v>
      </c>
      <c r="B86" s="14">
        <f>B84*B85</f>
        <v>9.1382310194934114E-4</v>
      </c>
      <c r="C86" t="s">
        <v>66</v>
      </c>
    </row>
    <row r="87" spans="1:5" x14ac:dyDescent="0.25">
      <c r="A87" t="s">
        <v>142</v>
      </c>
      <c r="B87">
        <f>B86/B58</f>
        <v>4.6623627650476586E-5</v>
      </c>
      <c r="C87" t="s">
        <v>146</v>
      </c>
    </row>
    <row r="88" spans="1:5" x14ac:dyDescent="0.25">
      <c r="A88" t="s">
        <v>142</v>
      </c>
      <c r="B88" s="11">
        <f>B87*1000000</f>
        <v>46.623627650476585</v>
      </c>
      <c r="C88" t="s">
        <v>147</v>
      </c>
      <c r="D88" s="13"/>
      <c r="E88" s="13" t="s">
        <v>148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Main</vt:lpstr>
      <vt:lpstr>Exp Dil</vt:lpstr>
      <vt:lpstr>Pulsed Dil</vt:lpstr>
      <vt:lpstr>CO2 Sugar Priming</vt:lpstr>
      <vt:lpstr>CO2 Distribution</vt:lpstr>
      <vt:lpstr>O2 Distribution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Duncan Bryant</cp:lastModifiedBy>
  <dcterms:created xsi:type="dcterms:W3CDTF">2023-03-11T21:16:53Z</dcterms:created>
  <dcterms:modified xsi:type="dcterms:W3CDTF">2023-07-13T21:25:28Z</dcterms:modified>
</cp:coreProperties>
</file>