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dave\OneDrive - Brewers Association\Documents\Sink\Private\dave\Zymurgy\2020\2020.4 Zym JA FERMENTATION\11 FEATURES\Homebrew Calculations\"/>
    </mc:Choice>
  </mc:AlternateContent>
  <xr:revisionPtr revIDLastSave="0" documentId="11_D018BCADC6B7AD2E566205FADD2396BA885A32CF" xr6:coauthVersionLast="44" xr6:coauthVersionMax="44" xr10:uidLastSave="{00000000-0000-0000-0000-000000000000}"/>
  <bookViews>
    <workbookView xWindow="39495" yWindow="1275" windowWidth="26745" windowHeight="16335" xr2:uid="{00000000-000D-0000-FFFF-FFFF00000000}"/>
  </bookViews>
  <sheets>
    <sheet name="CalcWorksheet" sheetId="5" r:id="rId1"/>
    <sheet name="Summary" sheetId="6" r:id="rId2"/>
    <sheet name="Admin" sheetId="2" r:id="rId3"/>
  </sheets>
  <definedNames>
    <definedName name="assumedEFF">CalcWorksheet!$H$5</definedName>
    <definedName name="atten1">CalcWorksheet!$J$36</definedName>
    <definedName name="atten2">CalcWorksheet!$N$36</definedName>
    <definedName name="atten3">CalcWorksheet!$R$36</definedName>
    <definedName name="batchsize">CalcWorksheet!$F$4</definedName>
    <definedName name="beername">CalcWorksheet!$F$2</definedName>
    <definedName name="beerstyle">CalcWorksheet!$F$3</definedName>
    <definedName name="boillength">CalcWorksheet!$F$6</definedName>
    <definedName name="brewdate">CalcWorksheet!$J$2</definedName>
    <definedName name="brewers">CalcWorksheet!$J$3</definedName>
    <definedName name="estabv">CalcWorksheet!$K$35</definedName>
    <definedName name="estabv2">CalcWorksheet!$O$35</definedName>
    <definedName name="estabv3">CalcWorksheet!$S$35</definedName>
    <definedName name="EstSrm">CalcWorksheet!$F$22</definedName>
    <definedName name="EstSrmColor">CalcWorksheet!$G$22</definedName>
    <definedName name="fermentday">CalcWorksheet!$L$35</definedName>
    <definedName name="fg">CalcWorksheet!$J$34</definedName>
    <definedName name="fgav2">CalcWorksheet!$N$34</definedName>
    <definedName name="fgdate">CalcWorksheet!$L$34</definedName>
    <definedName name="fgdate2">CalcWorksheet!$P$34</definedName>
    <definedName name="fgdate3">CalcWorksheet!$T$34</definedName>
    <definedName name="fgrav3">CalcWorksheet!$R$34</definedName>
    <definedName name="fgravdate2">CalcWorksheet!$P$33</definedName>
    <definedName name="fgravdate3">CalcWorksheet!$T$33</definedName>
    <definedName name="grain">Admin!$C$3:$C$73</definedName>
    <definedName name="Grainlookup">Admin!$C$4:$E$50</definedName>
    <definedName name="hopquantity">CalcWorksheet!$C$30:$C$37</definedName>
    <definedName name="hops">Admin!$H$2:$H$87</definedName>
    <definedName name="hops1">#REF!</definedName>
    <definedName name="hops2">Admin!$H$3:$H$87</definedName>
    <definedName name="hoptype">CalcWorksheet!$A$30:$A$37</definedName>
    <definedName name="Ingredient">Admin!$C$4:$C$50</definedName>
    <definedName name="irishmoss">CalcWorksheet!$J$25</definedName>
    <definedName name="Maltnames">CalcWorksheet!$E$8:$E$19</definedName>
    <definedName name="maltper">CalcWorksheet!$O$8:$O$19</definedName>
    <definedName name="maltquantity">CalcWorksheet!$H$8:$H$19</definedName>
    <definedName name="malttotal">CalcWorksheet!$H$20</definedName>
    <definedName name="mash">Admin!$A$3:$A$6</definedName>
    <definedName name="mashpH">CalcWorksheet!$B$16</definedName>
    <definedName name="mashtemp">CalcWorksheet!$C$22</definedName>
    <definedName name="mashtemp1">CalcWorksheet!$C$20</definedName>
    <definedName name="mashtemp2">CalcWorksheet!$C$21</definedName>
    <definedName name="mashtemp3">CalcWorksheet!$C$24</definedName>
    <definedName name="mashtemp4">CalcWorksheet!$C$23</definedName>
    <definedName name="mashthick">CalcWorksheet!$D$13</definedName>
    <definedName name="mashtime">CalcWorksheet!$D$22</definedName>
    <definedName name="mashtime1">CalcWorksheet!$D$20</definedName>
    <definedName name="mashtime2">CalcWorksheet!$D$22</definedName>
    <definedName name="mashtime3">CalcWorksheet!$D$24</definedName>
    <definedName name="mashtime4">CalcWorksheet!$B$23</definedName>
    <definedName name="mashtype">CalcWorksheet!$B$12</definedName>
    <definedName name="MEff">CalcWorksheet!$D$15</definedName>
    <definedName name="og">CalcWorksheet!$J$32</definedName>
    <definedName name="ogdate">CalcWorksheet!$L$32</definedName>
    <definedName name="ogdate2">CalcWorksheet!$P$32</definedName>
    <definedName name="ogdate3">CalcWorksheet!$T$32</definedName>
    <definedName name="ograv2">CalcWorksheet!$N$32</definedName>
    <definedName name="ograv3">CalcWorksheet!$R$32</definedName>
    <definedName name="oxy">CalcWorksheet!$J$26</definedName>
    <definedName name="quan2">CalcWorksheet!$P$36</definedName>
    <definedName name="quan3">CalcWorksheet!$T$36</definedName>
    <definedName name="recipehops">CalcWorksheet!$A$30:$E$37</definedName>
    <definedName name="recipeibu">CalcWorksheet!$H$30:$H$37</definedName>
    <definedName name="srm">Admin!$F$3:$G$11</definedName>
    <definedName name="striketemp">CalcWorksheet!$B$13</definedName>
    <definedName name="strikevolume">CalcWorksheet!$B$14</definedName>
    <definedName name="targetabv">CalcWorksheet!$L$4</definedName>
    <definedName name="targetog">CalcWorksheet!$J$4</definedName>
    <definedName name="targetp">CalcWorksheet!$G$24</definedName>
    <definedName name="totalibu">CalcWorksheet!$H$38</definedName>
    <definedName name="Use">Admin!$A$9:$A$11</definedName>
    <definedName name="watertreat">CalcWorksheet!$A$17</definedName>
    <definedName name="yearbatch">CalcWorksheet!$H$3</definedName>
    <definedName name="yeastnutrient">CalcWorksheet!$L$25</definedName>
    <definedName name="yeastquantity">CalcWorksheet!$L$36</definedName>
    <definedName name="yeasttype">CalcWorksheet!$J$30</definedName>
    <definedName name="yeasttype2">CalcWorksheet!$N$30</definedName>
    <definedName name="yeasttype3">CalcWorksheet!$R$30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5" i="5" l="1"/>
  <c r="J36" i="5" l="1"/>
  <c r="K9" i="5"/>
  <c r="A8" i="6" l="1"/>
  <c r="B8" i="6"/>
  <c r="B13" i="5"/>
  <c r="R26" i="5"/>
  <c r="S23" i="5" s="1"/>
  <c r="T23" i="5"/>
  <c r="N24" i="5" l="1"/>
  <c r="N23" i="5"/>
  <c r="M15" i="5"/>
  <c r="M16" i="5"/>
  <c r="M17" i="5"/>
  <c r="M18" i="5"/>
  <c r="M19" i="5"/>
  <c r="F36" i="5" l="1"/>
  <c r="F37" i="5"/>
  <c r="D22" i="5"/>
  <c r="D24" i="5"/>
  <c r="B3" i="6" l="1"/>
  <c r="B4" i="6" l="1"/>
  <c r="O35" i="5" l="1"/>
  <c r="G33" i="6" s="1"/>
  <c r="B33" i="6"/>
  <c r="B34" i="6"/>
  <c r="A34" i="6"/>
  <c r="A33" i="6"/>
  <c r="T35" i="5"/>
  <c r="R36" i="5"/>
  <c r="S35" i="5"/>
  <c r="G34" i="6" s="1"/>
  <c r="R35" i="5"/>
  <c r="S34" i="5"/>
  <c r="S32" i="5"/>
  <c r="O34" i="5"/>
  <c r="O32" i="5"/>
  <c r="K34" i="5"/>
  <c r="K32" i="5"/>
  <c r="N35" i="5"/>
  <c r="P35" i="5"/>
  <c r="N36" i="5"/>
  <c r="F33" i="6" s="1"/>
  <c r="H5" i="5"/>
  <c r="B5" i="6" s="1"/>
  <c r="D31" i="5"/>
  <c r="G31" i="5" s="1"/>
  <c r="D32" i="5"/>
  <c r="D21" i="6" s="1"/>
  <c r="D33" i="5"/>
  <c r="D22" i="6" s="1"/>
  <c r="D34" i="5"/>
  <c r="D23" i="6" s="1"/>
  <c r="D35" i="5"/>
  <c r="D24" i="6" s="1"/>
  <c r="D36" i="5"/>
  <c r="D25" i="6" s="1"/>
  <c r="D37" i="5"/>
  <c r="D26" i="6" s="1"/>
  <c r="D30" i="5"/>
  <c r="D19" i="6" s="1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2" i="6"/>
  <c r="A20" i="6"/>
  <c r="B20" i="6"/>
  <c r="C20" i="6"/>
  <c r="E20" i="6"/>
  <c r="A21" i="6"/>
  <c r="B21" i="6"/>
  <c r="C21" i="6"/>
  <c r="E21" i="6"/>
  <c r="A22" i="6"/>
  <c r="B22" i="6"/>
  <c r="C22" i="6"/>
  <c r="E22" i="6"/>
  <c r="A23" i="6"/>
  <c r="B23" i="6"/>
  <c r="C23" i="6"/>
  <c r="E23" i="6"/>
  <c r="A24" i="6"/>
  <c r="B24" i="6"/>
  <c r="C24" i="6"/>
  <c r="E24" i="6"/>
  <c r="A25" i="6"/>
  <c r="B25" i="6"/>
  <c r="C25" i="6"/>
  <c r="E25" i="6"/>
  <c r="A26" i="6"/>
  <c r="B26" i="6"/>
  <c r="C26" i="6"/>
  <c r="E26" i="6"/>
  <c r="F29" i="6"/>
  <c r="E34" i="6"/>
  <c r="D34" i="6"/>
  <c r="C34" i="6"/>
  <c r="E33" i="6"/>
  <c r="D33" i="6"/>
  <c r="C33" i="6"/>
  <c r="E32" i="6"/>
  <c r="D32" i="6"/>
  <c r="C32" i="6"/>
  <c r="B32" i="6"/>
  <c r="A32" i="6"/>
  <c r="F34" i="6"/>
  <c r="G16" i="6"/>
  <c r="F11" i="5"/>
  <c r="K11" i="5" s="1"/>
  <c r="G11" i="5"/>
  <c r="L11" i="5" s="1"/>
  <c r="M11" i="5" s="1"/>
  <c r="F12" i="5"/>
  <c r="K12" i="5" s="1"/>
  <c r="G12" i="5"/>
  <c r="L12" i="5" s="1"/>
  <c r="M12" i="5" s="1"/>
  <c r="N12" i="5"/>
  <c r="F13" i="5"/>
  <c r="K13" i="5" s="1"/>
  <c r="G13" i="5"/>
  <c r="L13" i="5" s="1"/>
  <c r="M13" i="5" s="1"/>
  <c r="N13" i="5"/>
  <c r="F14" i="5"/>
  <c r="K14" i="5" s="1"/>
  <c r="G14" i="5"/>
  <c r="L14" i="5" s="1"/>
  <c r="M14" i="5" s="1"/>
  <c r="F15" i="5"/>
  <c r="K15" i="5"/>
  <c r="G15" i="5"/>
  <c r="L15" i="5"/>
  <c r="B2" i="6"/>
  <c r="G15" i="6"/>
  <c r="D20" i="5"/>
  <c r="G14" i="6" s="1"/>
  <c r="F16" i="6"/>
  <c r="F14" i="6"/>
  <c r="F15" i="6"/>
  <c r="C9" i="6"/>
  <c r="C10" i="6"/>
  <c r="C11" i="6"/>
  <c r="C12" i="6"/>
  <c r="C13" i="6"/>
  <c r="C14" i="6"/>
  <c r="C15" i="6"/>
  <c r="C16" i="6"/>
  <c r="C8" i="6"/>
  <c r="B9" i="6"/>
  <c r="B10" i="6"/>
  <c r="B11" i="6"/>
  <c r="B12" i="6"/>
  <c r="B13" i="6"/>
  <c r="B14" i="6"/>
  <c r="B15" i="6"/>
  <c r="B16" i="6"/>
  <c r="J35" i="5"/>
  <c r="K35" i="5"/>
  <c r="G32" i="6" s="1"/>
  <c r="B29" i="6"/>
  <c r="D29" i="6"/>
  <c r="E19" i="6"/>
  <c r="C19" i="6"/>
  <c r="B27" i="6"/>
  <c r="B19" i="6"/>
  <c r="A19" i="6"/>
  <c r="D4" i="6"/>
  <c r="G10" i="6"/>
  <c r="D17" i="6"/>
  <c r="G12" i="6"/>
  <c r="G11" i="6"/>
  <c r="F3" i="6"/>
  <c r="F2" i="6"/>
  <c r="G16" i="5"/>
  <c r="L16" i="5"/>
  <c r="N16" i="5"/>
  <c r="G17" i="5"/>
  <c r="L17" i="5"/>
  <c r="N18" i="5"/>
  <c r="O18" i="5"/>
  <c r="N19" i="5"/>
  <c r="O19" i="5"/>
  <c r="C38" i="5"/>
  <c r="A27" i="6" s="1"/>
  <c r="F32" i="6"/>
  <c r="H20" i="5"/>
  <c r="I9" i="5" s="1"/>
  <c r="L19" i="5"/>
  <c r="K19" i="5"/>
  <c r="I19" i="5"/>
  <c r="G19" i="5"/>
  <c r="F19" i="5"/>
  <c r="G18" i="5"/>
  <c r="L18" i="5"/>
  <c r="F18" i="5"/>
  <c r="K18" i="5"/>
  <c r="N17" i="5"/>
  <c r="F17" i="5"/>
  <c r="K17" i="5"/>
  <c r="F16" i="5"/>
  <c r="K16" i="5"/>
  <c r="N15" i="5"/>
  <c r="N14" i="5"/>
  <c r="G9" i="5"/>
  <c r="L9" i="5" s="1"/>
  <c r="M9" i="5" s="1"/>
  <c r="G10" i="5"/>
  <c r="L10" i="5" s="1"/>
  <c r="M10" i="5" s="1"/>
  <c r="G8" i="6"/>
  <c r="N11" i="5"/>
  <c r="N10" i="5"/>
  <c r="F10" i="5"/>
  <c r="K10" i="5" s="1"/>
  <c r="N9" i="5"/>
  <c r="F9" i="5"/>
  <c r="H4" i="5"/>
  <c r="I18" i="5"/>
  <c r="G37" i="5"/>
  <c r="G36" i="5"/>
  <c r="H36" i="5"/>
  <c r="F25" i="6" s="1"/>
  <c r="H37" i="5"/>
  <c r="F26" i="6" s="1"/>
  <c r="O16" i="5"/>
  <c r="O17" i="5"/>
  <c r="O15" i="5"/>
  <c r="F5" i="5" l="1"/>
  <c r="A16" i="6"/>
  <c r="A15" i="6"/>
  <c r="G35" i="5"/>
  <c r="G34" i="5"/>
  <c r="I12" i="5"/>
  <c r="I14" i="5"/>
  <c r="I13" i="5"/>
  <c r="G32" i="5"/>
  <c r="G33" i="5"/>
  <c r="G30" i="5"/>
  <c r="D20" i="6"/>
  <c r="S26" i="5"/>
  <c r="I11" i="5"/>
  <c r="B17" i="6"/>
  <c r="D12" i="5"/>
  <c r="B14" i="5" s="1"/>
  <c r="G9" i="6" s="1"/>
  <c r="I10" i="5"/>
  <c r="L22" i="5"/>
  <c r="K20" i="5"/>
  <c r="F21" i="5" s="1"/>
  <c r="L20" i="5"/>
  <c r="O12" i="5" s="1"/>
  <c r="F22" i="5" l="1"/>
  <c r="G22" i="5" s="1"/>
  <c r="C6" i="6" s="1"/>
  <c r="G38" i="5"/>
  <c r="I20" i="5"/>
  <c r="L21" i="5"/>
  <c r="F24" i="5" s="1"/>
  <c r="O11" i="5"/>
  <c r="A11" i="6" s="1"/>
  <c r="O14" i="5"/>
  <c r="O10" i="5"/>
  <c r="O13" i="5"/>
  <c r="A12" i="6" s="1"/>
  <c r="O9" i="5"/>
  <c r="B6" i="6" l="1"/>
  <c r="A9" i="6"/>
  <c r="A13" i="6"/>
  <c r="A14" i="6"/>
  <c r="A10" i="6"/>
  <c r="D15" i="5"/>
  <c r="F23" i="5"/>
  <c r="G24" i="5"/>
  <c r="F26" i="5"/>
  <c r="J4" i="5"/>
  <c r="F4" i="6" s="1"/>
  <c r="F27" i="5" l="1"/>
  <c r="G26" i="5"/>
  <c r="F34" i="5"/>
  <c r="H34" i="5" s="1"/>
  <c r="F23" i="6" s="1"/>
  <c r="F35" i="5"/>
  <c r="H35" i="5" s="1"/>
  <c r="F24" i="6" s="1"/>
  <c r="F33" i="5"/>
  <c r="H33" i="5" s="1"/>
  <c r="F22" i="6" s="1"/>
  <c r="F32" i="5"/>
  <c r="H32" i="5" s="1"/>
  <c r="F21" i="6" s="1"/>
  <c r="G27" i="5"/>
  <c r="L4" i="5" s="1"/>
  <c r="F5" i="6" s="1"/>
  <c r="F31" i="5"/>
  <c r="H31" i="5" s="1"/>
  <c r="F20" i="6" s="1"/>
  <c r="G23" i="5"/>
  <c r="F25" i="5"/>
  <c r="G25" i="5" s="1"/>
  <c r="F30" i="5"/>
  <c r="H30" i="5" s="1"/>
  <c r="G4" i="6"/>
  <c r="P24" i="5"/>
  <c r="P23" i="5"/>
  <c r="F19" i="6" l="1"/>
  <c r="H38" i="5"/>
  <c r="F6" i="6" l="1"/>
  <c r="K23" i="5"/>
  <c r="L5" i="5"/>
  <c r="F27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JB Zorn</author>
    <author>JB</author>
  </authors>
  <commentList>
    <comment ref="I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JB Zorn:</t>
        </r>
        <r>
          <rPr>
            <sz val="9"/>
            <color indexed="81"/>
            <rFont val="Tahoma"/>
            <family val="2"/>
          </rPr>
          <t xml:space="preserve">
Adjust with anticipated trub percentage (More Hops=More trub). Use 0 to disable factor.</t>
        </r>
      </text>
    </comment>
    <comment ref="Q21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JB:</t>
        </r>
        <r>
          <rPr>
            <sz val="9"/>
            <color indexed="81"/>
            <rFont val="Tahoma"/>
            <family val="2"/>
          </rPr>
          <t xml:space="preserve">
Adapted from http://seanterrill.com/2012/01/06/refractometer-calculator/</t>
        </r>
      </text>
    </comment>
  </commentList>
</comments>
</file>

<file path=xl/sharedStrings.xml><?xml version="1.0" encoding="utf-8"?>
<sst xmlns="http://schemas.openxmlformats.org/spreadsheetml/2006/main" count="342" uniqueCount="302">
  <si>
    <t>General Information</t>
  </si>
  <si>
    <t>Beer Name:</t>
  </si>
  <si>
    <t>Brew Date:</t>
  </si>
  <si>
    <t>Beer Style:</t>
  </si>
  <si>
    <t>Year Batch</t>
  </si>
  <si>
    <t>Brewers:</t>
  </si>
  <si>
    <t>Batch Size</t>
  </si>
  <si>
    <t>w/ Trub</t>
  </si>
  <si>
    <t>Target OG/°P</t>
  </si>
  <si>
    <t>Target ABV</t>
  </si>
  <si>
    <t>Reserved for Mash Graph</t>
  </si>
  <si>
    <t>Boil Volume:</t>
  </si>
  <si>
    <t>System Eff:</t>
  </si>
  <si>
    <t>Trub Factor</t>
  </si>
  <si>
    <t>Target IBU</t>
  </si>
  <si>
    <t>Grain Bill</t>
  </si>
  <si>
    <t>Ingredient</t>
  </si>
  <si>
    <t>Color (°L)</t>
  </si>
  <si>
    <t>Quantity (lbs)</t>
  </si>
  <si>
    <t>Quantity %</t>
  </si>
  <si>
    <t>Use</t>
  </si>
  <si>
    <t>Gravity</t>
  </si>
  <si>
    <t>w/ Eff</t>
  </si>
  <si>
    <t>w/o Eff</t>
  </si>
  <si>
    <t>Gravity %</t>
  </si>
  <si>
    <t>Two-Row Pale Malt</t>
  </si>
  <si>
    <t>Mash</t>
  </si>
  <si>
    <t>80-90L Crystal Malt</t>
  </si>
  <si>
    <t>Mash Information</t>
  </si>
  <si>
    <t>English Brown Malt</t>
  </si>
  <si>
    <t>Mash Type:</t>
  </si>
  <si>
    <t>Batch Sparge</t>
  </si>
  <si>
    <t>Total lbs</t>
  </si>
  <si>
    <t>Pale Chocolate</t>
  </si>
  <si>
    <t>Strike Water °F</t>
  </si>
  <si>
    <t>Qt/lbs</t>
  </si>
  <si>
    <t>Roasted Barley</t>
  </si>
  <si>
    <t>Strike Water Vol (Gl)</t>
  </si>
  <si>
    <t>Black Malt</t>
  </si>
  <si>
    <t>Actual Post-Boil O.G.</t>
  </si>
  <si>
    <t>Measured Eff**</t>
  </si>
  <si>
    <t>Mash pH?</t>
  </si>
  <si>
    <t>Steps</t>
  </si>
  <si>
    <t>Time</t>
  </si>
  <si>
    <t>Temp</t>
  </si>
  <si>
    <t>Duration/Notes</t>
  </si>
  <si>
    <t>Total</t>
  </si>
  <si>
    <t>Est SRM</t>
  </si>
  <si>
    <t>Mashable Gravity</t>
  </si>
  <si>
    <t>Parti-Gyle Patch</t>
  </si>
  <si>
    <t>Brix Patch</t>
  </si>
  <si>
    <t>Est Pre-Boil O.G.</t>
  </si>
  <si>
    <t>S.G.</t>
  </si>
  <si>
    <t>°P</t>
  </si>
  <si>
    <t>~100% Fermentable Gravity</t>
  </si>
  <si>
    <t>Quantity</t>
  </si>
  <si>
    <t>Ratio</t>
  </si>
  <si>
    <t>Est OG/°P</t>
  </si>
  <si>
    <t>Orig Brix</t>
  </si>
  <si>
    <t>Current Brix</t>
  </si>
  <si>
    <t>OG</t>
  </si>
  <si>
    <t>FG</t>
  </si>
  <si>
    <t>Est Post-Boil O.G.</t>
  </si>
  <si>
    <t>BU/GU</t>
  </si>
  <si>
    <t>First Half</t>
  </si>
  <si>
    <t>Kettle and Post Boil</t>
  </si>
  <si>
    <t>Second Half</t>
  </si>
  <si>
    <t>Boil Length</t>
  </si>
  <si>
    <t>min</t>
  </si>
  <si>
    <t>Irish Moss?</t>
  </si>
  <si>
    <t>Y</t>
  </si>
  <si>
    <t>Yeast Nutrient?</t>
  </si>
  <si>
    <t>Wort Correction Factor</t>
  </si>
  <si>
    <t>Estimated ABV</t>
  </si>
  <si>
    <t>Est F.G.</t>
  </si>
  <si>
    <t xml:space="preserve"> </t>
  </si>
  <si>
    <t>O2?</t>
  </si>
  <si>
    <t>N</t>
  </si>
  <si>
    <t>Est. Attenuation</t>
  </si>
  <si>
    <t>Hop Profile</t>
  </si>
  <si>
    <t>Fermentation #1</t>
  </si>
  <si>
    <t>Fermentation #2 (As needed)</t>
  </si>
  <si>
    <t>Fermentation #3 (As needed)</t>
  </si>
  <si>
    <t>Variety</t>
  </si>
  <si>
    <t>Type</t>
  </si>
  <si>
    <t>Wt (Oz)</t>
  </si>
  <si>
    <t>Alpha Acid</t>
  </si>
  <si>
    <t>Boil Time</t>
  </si>
  <si>
    <t>Utilization</t>
  </si>
  <si>
    <t>AAU</t>
  </si>
  <si>
    <t>IBU</t>
  </si>
  <si>
    <t xml:space="preserve">Kent Goldings </t>
  </si>
  <si>
    <t>Yeast:</t>
  </si>
  <si>
    <t xml:space="preserve">Cascade </t>
  </si>
  <si>
    <t>Date/Temp</t>
  </si>
  <si>
    <t>Measured O.G.</t>
  </si>
  <si>
    <t>Measured F.G.</t>
  </si>
  <si>
    <t>Actual Attenuation</t>
  </si>
  <si>
    <t>Notes:</t>
  </si>
  <si>
    <t>Beer Name</t>
  </si>
  <si>
    <t>Brew Date/#</t>
  </si>
  <si>
    <t>Beer Style</t>
  </si>
  <si>
    <t>Brewer(s)</t>
  </si>
  <si>
    <t>Batch Size (Final)</t>
  </si>
  <si>
    <t>Brewhouse Est Eff</t>
  </si>
  <si>
    <t>Estimated abv</t>
  </si>
  <si>
    <t>Grain</t>
  </si>
  <si>
    <t>Strike Temp</t>
  </si>
  <si>
    <t>Strike Volume</t>
  </si>
  <si>
    <t xml:space="preserve">Mash Thickness </t>
  </si>
  <si>
    <t>Mash Type</t>
  </si>
  <si>
    <t>Mash pH</t>
  </si>
  <si>
    <t>Mash Schedule</t>
  </si>
  <si>
    <t>Total Lbs</t>
  </si>
  <si>
    <t>Hops</t>
  </si>
  <si>
    <t>Extras</t>
  </si>
  <si>
    <t>Yeast Nutrient</t>
  </si>
  <si>
    <t>Irish Moss</t>
  </si>
  <si>
    <t>O2</t>
  </si>
  <si>
    <t>Fermentation</t>
  </si>
  <si>
    <t>Yeast Type</t>
  </si>
  <si>
    <t>O.G.</t>
  </si>
  <si>
    <t xml:space="preserve">F.G. </t>
  </si>
  <si>
    <t>Rack Date</t>
  </si>
  <si>
    <t>Attenuation</t>
  </si>
  <si>
    <t>Notes</t>
  </si>
  <si>
    <t>Date</t>
  </si>
  <si>
    <t>Observation/Comments</t>
  </si>
  <si>
    <t>Next Time?</t>
  </si>
  <si>
    <t>Extract</t>
  </si>
  <si>
    <t>Mosiac</t>
  </si>
  <si>
    <t>Palisade</t>
  </si>
  <si>
    <t xml:space="preserve">Hops </t>
  </si>
  <si>
    <t>Average Alpha Acids</t>
  </si>
  <si>
    <t>None</t>
  </si>
  <si>
    <t xml:space="preserve">Admiral </t>
  </si>
  <si>
    <t xml:space="preserve">Ahtanum </t>
  </si>
  <si>
    <t xml:space="preserve">Amarillo® </t>
  </si>
  <si>
    <t xml:space="preserve">Aquila </t>
  </si>
  <si>
    <t xml:space="preserve">B. C. Goldings </t>
  </si>
  <si>
    <t xml:space="preserve">Banner </t>
  </si>
  <si>
    <t xml:space="preserve">Bramling Cross </t>
  </si>
  <si>
    <t xml:space="preserve">Brewer’s Gold </t>
  </si>
  <si>
    <t xml:space="preserve">Bullion </t>
  </si>
  <si>
    <t xml:space="preserve">Centennial </t>
  </si>
  <si>
    <t xml:space="preserve">Challenger </t>
  </si>
  <si>
    <t xml:space="preserve">Chinook </t>
  </si>
  <si>
    <t xml:space="preserve">Citra </t>
  </si>
  <si>
    <t xml:space="preserve">Cluster </t>
  </si>
  <si>
    <t xml:space="preserve">Columbus </t>
  </si>
  <si>
    <t xml:space="preserve">Comet </t>
  </si>
  <si>
    <t xml:space="preserve">Crystal </t>
  </si>
  <si>
    <t xml:space="preserve">Domesic Hallertau </t>
  </si>
  <si>
    <t xml:space="preserve">East Kent Goldings </t>
  </si>
  <si>
    <t xml:space="preserve">Eroica </t>
  </si>
  <si>
    <t xml:space="preserve">First Gold </t>
  </si>
  <si>
    <t xml:space="preserve">Fuggles </t>
  </si>
  <si>
    <t xml:space="preserve">Galena </t>
  </si>
  <si>
    <t xml:space="preserve">Glacier </t>
  </si>
  <si>
    <t xml:space="preserve">Goldings </t>
  </si>
  <si>
    <t xml:space="preserve">Hallertau Mittelfruh </t>
  </si>
  <si>
    <t xml:space="preserve">Hallertau Hersbrucker </t>
  </si>
  <si>
    <t xml:space="preserve">Herald </t>
  </si>
  <si>
    <t xml:space="preserve">Hersbrucker </t>
  </si>
  <si>
    <t xml:space="preserve">Horizon </t>
  </si>
  <si>
    <t xml:space="preserve">Huller Bitterer </t>
  </si>
  <si>
    <t xml:space="preserve">Liberty </t>
  </si>
  <si>
    <t xml:space="preserve">Lublin </t>
  </si>
  <si>
    <t xml:space="preserve">Magnum </t>
  </si>
  <si>
    <t xml:space="preserve">Millenium </t>
  </si>
  <si>
    <t xml:space="preserve">Mount Hood </t>
  </si>
  <si>
    <t xml:space="preserve">Mount Rainier </t>
  </si>
  <si>
    <t xml:space="preserve">Motueka </t>
  </si>
  <si>
    <t xml:space="preserve">Nelson Sauvin </t>
  </si>
  <si>
    <t xml:space="preserve">Newport </t>
  </si>
  <si>
    <t xml:space="preserve">Northdown </t>
  </si>
  <si>
    <t xml:space="preserve">Northern Brewer </t>
  </si>
  <si>
    <t xml:space="preserve">Nugget </t>
  </si>
  <si>
    <t xml:space="preserve">Olympic </t>
  </si>
  <si>
    <t xml:space="preserve">Omega </t>
  </si>
  <si>
    <t xml:space="preserve">Orion </t>
  </si>
  <si>
    <t xml:space="preserve">Pacific Gem </t>
  </si>
  <si>
    <t xml:space="preserve">Perle </t>
  </si>
  <si>
    <t xml:space="preserve">Phoenix </t>
  </si>
  <si>
    <t xml:space="preserve">Pioneer </t>
  </si>
  <si>
    <t xml:space="preserve">Pride of Ringwood </t>
  </si>
  <si>
    <t xml:space="preserve">Progress </t>
  </si>
  <si>
    <t xml:space="preserve">Record </t>
  </si>
  <si>
    <t xml:space="preserve">Saaz </t>
  </si>
  <si>
    <t xml:space="preserve">Santiam </t>
  </si>
  <si>
    <t xml:space="preserve">Satus </t>
  </si>
  <si>
    <t xml:space="preserve">Simcoe </t>
  </si>
  <si>
    <t xml:space="preserve">Sorachi Ace </t>
  </si>
  <si>
    <t xml:space="preserve">Spalt </t>
  </si>
  <si>
    <t xml:space="preserve">Sterling </t>
  </si>
  <si>
    <t xml:space="preserve">Sticklebract </t>
  </si>
  <si>
    <t xml:space="preserve">Strisselspalt </t>
  </si>
  <si>
    <t xml:space="preserve">Styrian Goldings </t>
  </si>
  <si>
    <t xml:space="preserve">Super Alpha </t>
  </si>
  <si>
    <t xml:space="preserve">Super Styrians </t>
  </si>
  <si>
    <t xml:space="preserve">Summit </t>
  </si>
  <si>
    <t xml:space="preserve">Talisman </t>
  </si>
  <si>
    <t xml:space="preserve">Target </t>
  </si>
  <si>
    <t xml:space="preserve">Tettnanger </t>
  </si>
  <si>
    <t xml:space="preserve">Tomahawk </t>
  </si>
  <si>
    <t xml:space="preserve">Ultra </t>
  </si>
  <si>
    <t xml:space="preserve">Vanguard </t>
  </si>
  <si>
    <t xml:space="preserve">Warrior </t>
  </si>
  <si>
    <t xml:space="preserve">Whitbread Golding </t>
  </si>
  <si>
    <t xml:space="preserve">Willamette </t>
  </si>
  <si>
    <t xml:space="preserve">Wye Target </t>
  </si>
  <si>
    <t xml:space="preserve">Yamhill Goldings </t>
  </si>
  <si>
    <t xml:space="preserve">Yakima Cluster </t>
  </si>
  <si>
    <t xml:space="preserve">Yeoman </t>
  </si>
  <si>
    <t>Zythos</t>
  </si>
  <si>
    <t xml:space="preserve">Zeus </t>
  </si>
  <si>
    <t>Mash Lookup</t>
  </si>
  <si>
    <t>Grain Lookup</t>
  </si>
  <si>
    <t>SRM Ratings</t>
  </si>
  <si>
    <t>System Efficency</t>
  </si>
  <si>
    <t>Color</t>
  </si>
  <si>
    <t>SRM Number</t>
  </si>
  <si>
    <t>Brew in a Bag</t>
  </si>
  <si>
    <t>Demerara Sugar</t>
  </si>
  <si>
    <t>Clear</t>
  </si>
  <si>
    <t>Light Straw</t>
  </si>
  <si>
    <t>Fly Sparge</t>
  </si>
  <si>
    <t>Sucrose (Table Sugar)</t>
  </si>
  <si>
    <t>Pale Straw</t>
  </si>
  <si>
    <t>No-Sparge</t>
  </si>
  <si>
    <t>Turbinado Sugar</t>
  </si>
  <si>
    <t>Dark Straw</t>
  </si>
  <si>
    <t>Honey (Clover)</t>
  </si>
  <si>
    <t>Light Amber</t>
  </si>
  <si>
    <t>Use Lookup</t>
  </si>
  <si>
    <t>Flaked Maize</t>
  </si>
  <si>
    <t>Copper</t>
  </si>
  <si>
    <t>Flaked Barley</t>
  </si>
  <si>
    <t>Dark Amber/Brown</t>
  </si>
  <si>
    <t>Steep</t>
  </si>
  <si>
    <t xml:space="preserve">Flaked Oats </t>
  </si>
  <si>
    <t>Very Dark Amber</t>
  </si>
  <si>
    <t>Flaked Wheat</t>
  </si>
  <si>
    <t>Black</t>
  </si>
  <si>
    <t>Carapils Malt</t>
  </si>
  <si>
    <t>German Pilsner Malt</t>
  </si>
  <si>
    <t>Briess Pilsner</t>
  </si>
  <si>
    <t>Dingemans Pilsner</t>
  </si>
  <si>
    <t>Weyermann Acid Malt</t>
  </si>
  <si>
    <t>Wheat</t>
  </si>
  <si>
    <t>2L German Crystal Malt</t>
  </si>
  <si>
    <t>Apple Juice</t>
  </si>
  <si>
    <t>Crisp Maris Otter</t>
  </si>
  <si>
    <t>German Vienna Malt</t>
  </si>
  <si>
    <t>Peat-Smoked Malt</t>
  </si>
  <si>
    <t>Rye Malt</t>
  </si>
  <si>
    <t>DME Extra Light</t>
  </si>
  <si>
    <t>DME Light</t>
  </si>
  <si>
    <t>Syrup Malt Extract</t>
  </si>
  <si>
    <t>German Munich Malt</t>
  </si>
  <si>
    <t>Dark Wheat Malt</t>
  </si>
  <si>
    <t>Light Munich Malt</t>
  </si>
  <si>
    <t>10L Crystal Malt</t>
  </si>
  <si>
    <t>Dark Munich Malt</t>
  </si>
  <si>
    <t>DME Amber</t>
  </si>
  <si>
    <t>Weyermann Carahell</t>
  </si>
  <si>
    <t>Weyermann Carabelge</t>
  </si>
  <si>
    <t>20L Crystal Malt</t>
  </si>
  <si>
    <t>Aromatic Malt</t>
  </si>
  <si>
    <t>Caravienne Malt</t>
  </si>
  <si>
    <t>Dingemans Biscuit Malt</t>
  </si>
  <si>
    <t>Honey Malt</t>
  </si>
  <si>
    <t>Victory Malt</t>
  </si>
  <si>
    <t>DME Dark</t>
  </si>
  <si>
    <t>Amber Malt</t>
  </si>
  <si>
    <t>40L Crystal Malt</t>
  </si>
  <si>
    <t>Brown Sugar</t>
  </si>
  <si>
    <t>Weyermann Caramunich</t>
  </si>
  <si>
    <t>Belgian Amber (45) Candi Syrup</t>
  </si>
  <si>
    <t>Dingemans Cara 45</t>
  </si>
  <si>
    <t>Briess Special Roast</t>
  </si>
  <si>
    <t>65L Crystal Malt</t>
  </si>
  <si>
    <t>Special B Malt</t>
  </si>
  <si>
    <t>Weyermann CaraAroma</t>
  </si>
  <si>
    <t>Simpsons Extra Dark Crystal</t>
  </si>
  <si>
    <t>Coffee Malt</t>
  </si>
  <si>
    <t>Chocolate Rye</t>
  </si>
  <si>
    <t>Chocolate Wheat</t>
  </si>
  <si>
    <t>Chocolate Malt</t>
  </si>
  <si>
    <t>Carafa</t>
  </si>
  <si>
    <t>Brewing Worksheet Ver.2.0 {2020} (J.B. Zorn)</t>
  </si>
  <si>
    <t>Recipe Summary Sheet (Ver.2.0)</t>
  </si>
  <si>
    <t>Ferment @ 66F</t>
  </si>
  <si>
    <t>DryHop</t>
  </si>
  <si>
    <t>^Post Ferment</t>
  </si>
  <si>
    <t>Avg Boil Gravity (IBU Calc)</t>
  </si>
  <si>
    <t>Split</t>
  </si>
  <si>
    <r>
      <t xml:space="preserve">Orig </t>
    </r>
    <r>
      <rPr>
        <sz val="11"/>
        <color theme="1"/>
        <rFont val="Symbol"/>
        <family val="1"/>
        <charset val="2"/>
      </rPr>
      <t>°</t>
    </r>
    <r>
      <rPr>
        <sz val="11"/>
        <color theme="1"/>
        <rFont val="Georgia"/>
        <family val="1"/>
        <scheme val="minor"/>
      </rPr>
      <t>Plato</t>
    </r>
  </si>
  <si>
    <t>Est SRM (Morey Equation)</t>
  </si>
  <si>
    <t>Malt Color Units (MCU)</t>
  </si>
  <si>
    <t>MCU</t>
  </si>
  <si>
    <t>Water: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</si>
</sst>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4" formatCode="_(&quot;$&quot;* #,##0.00_);_(&quot;$&quot;* \(#,##0.00\);_(&quot;$&quot;* &quot;-&quot;??_);_(@_)"/>
    <numFmt numFmtId="164" formatCode="0.0"/>
    <numFmt numFmtId="165" formatCode="0.0%"/>
    <numFmt numFmtId="166" formatCode="0.000"/>
    <numFmt numFmtId="167" formatCode="[$-F800]dddd\,\ mmmm\ dd\,\ yyyy"/>
    <numFmt numFmtId="168" formatCode="[$-409]d\-mmm\-yy;@"/>
    <numFmt numFmtId="169" formatCode="0.0\ &quot;°P&quot;"/>
    <numFmt numFmtId="170" formatCode="0.00\ &quot;lbs.&quot;"/>
    <numFmt numFmtId="171" formatCode="General\ \°\F"/>
    <numFmt numFmtId="172" formatCode="0\ &quot;min&quot;"/>
    <numFmt numFmtId="173" formatCode="0.0\ \°\F"/>
    <numFmt numFmtId="174" formatCode="0.0\ &quot;Gl&quot;"/>
    <numFmt numFmtId="175" formatCode="General\ &quot;Qt/Lbs&quot;"/>
    <numFmt numFmtId="176" formatCode="General\ &quot;min boil&quot;"/>
    <numFmt numFmtId="177" formatCode="General\ &quot;oz&quot;"/>
    <numFmt numFmtId="178" formatCode="General\ &quot;% AA&quot;"/>
    <numFmt numFmtId="179" formatCode="&quot;@&quot;\ General\ &quot;min&quot;"/>
    <numFmt numFmtId="180" formatCode="0.00\ &quot;% Abv&quot;"/>
    <numFmt numFmtId="181" formatCode="0.00\ &quot;%&quot;"/>
    <numFmt numFmtId="182" formatCode="&quot;#&quot;#0\ &quot;of 2020&quot;"/>
    <numFmt numFmtId="183" formatCode="00.0\ &quot;Gl&quot;"/>
    <numFmt numFmtId="184" formatCode="#0\ &quot;Days&quot;"/>
  </numFmts>
  <fonts count="29" x14ac:knownFonts="1">
    <font>
      <sz val="11"/>
      <color theme="1"/>
      <name val="Georgia"/>
      <family val="2"/>
      <scheme val="minor"/>
    </font>
    <font>
      <sz val="11"/>
      <color theme="1"/>
      <name val="Georgia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</font>
    <font>
      <sz val="11"/>
      <color theme="1"/>
      <name val="Goudy Old Style"/>
      <family val="1"/>
    </font>
    <font>
      <sz val="14"/>
      <color theme="1"/>
      <name val="Goudy Old Style"/>
      <family val="1"/>
    </font>
    <font>
      <sz val="14"/>
      <color theme="0"/>
      <name val="Goudy Old Style"/>
      <family val="1"/>
    </font>
    <font>
      <sz val="14"/>
      <color theme="0"/>
      <name val="Georgia"/>
      <family val="1"/>
      <scheme val="minor"/>
    </font>
    <font>
      <sz val="11"/>
      <color theme="0"/>
      <name val="Georgia"/>
      <family val="1"/>
      <scheme val="minor"/>
    </font>
    <font>
      <sz val="11"/>
      <color theme="1"/>
      <name val="Georgia"/>
      <family val="1"/>
      <scheme val="minor"/>
    </font>
    <font>
      <u/>
      <sz val="11"/>
      <color theme="1"/>
      <name val="Georgia"/>
      <family val="1"/>
      <scheme val="minor"/>
    </font>
    <font>
      <i/>
      <u/>
      <sz val="11"/>
      <color theme="1"/>
      <name val="Georgia"/>
      <family val="1"/>
      <scheme val="minor"/>
    </font>
    <font>
      <b/>
      <i/>
      <u/>
      <sz val="11"/>
      <color theme="1"/>
      <name val="Georgia"/>
      <family val="1"/>
      <scheme val="minor"/>
    </font>
    <font>
      <i/>
      <sz val="11"/>
      <color theme="1"/>
      <name val="Georgia"/>
      <family val="1"/>
      <scheme val="minor"/>
    </font>
    <font>
      <b/>
      <sz val="11"/>
      <color theme="1"/>
      <name val="Georgia"/>
      <family val="1"/>
      <scheme val="minor"/>
    </font>
    <font>
      <u/>
      <sz val="11"/>
      <color theme="0"/>
      <name val="Georgia"/>
      <family val="1"/>
      <scheme val="minor"/>
    </font>
    <font>
      <b/>
      <u/>
      <sz val="12"/>
      <color theme="1"/>
      <name val="Georgia"/>
      <family val="1"/>
      <scheme val="minor"/>
    </font>
    <font>
      <u/>
      <sz val="11"/>
      <color theme="10"/>
      <name val="Georgia"/>
      <family val="1"/>
      <scheme val="minor"/>
    </font>
    <font>
      <b/>
      <sz val="10"/>
      <name val="Georgia"/>
      <family val="1"/>
      <scheme val="minor"/>
    </font>
    <font>
      <b/>
      <sz val="10"/>
      <color theme="1"/>
      <name val="Georgia"/>
      <family val="1"/>
      <scheme val="minor"/>
    </font>
    <font>
      <sz val="10"/>
      <color theme="1"/>
      <name val="Georgia"/>
      <family val="1"/>
      <scheme val="minor"/>
    </font>
    <font>
      <sz val="10"/>
      <name val="Georgia"/>
      <family val="1"/>
      <scheme val="minor"/>
    </font>
    <font>
      <b/>
      <u/>
      <sz val="11"/>
      <color theme="1"/>
      <name val="Georgia"/>
      <family val="1"/>
      <scheme val="minor"/>
    </font>
    <font>
      <b/>
      <sz val="14"/>
      <color theme="0"/>
      <name val="Goudy Old Style"/>
      <family val="1"/>
    </font>
    <font>
      <i/>
      <sz val="14"/>
      <color theme="1"/>
      <name val="Goudy Old Style"/>
      <family val="1"/>
    </font>
    <font>
      <sz val="16"/>
      <color theme="0"/>
      <name val="Goudy Old Style"/>
      <family val="1"/>
    </font>
    <font>
      <u/>
      <sz val="18"/>
      <color theme="1"/>
      <name val="Goudy Old Style"/>
      <family val="1"/>
    </font>
    <font>
      <sz val="11"/>
      <color theme="1"/>
      <name val="Symbol"/>
      <family val="1"/>
      <charset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theme="6" tint="0.39997558519241921"/>
      </top>
      <bottom/>
      <diagonal/>
    </border>
    <border>
      <left/>
      <right/>
      <top style="thin">
        <color theme="6" tint="0.39997558519241921"/>
      </top>
      <bottom/>
      <diagonal/>
    </border>
    <border>
      <left style="medium">
        <color rgb="FF000000"/>
      </left>
      <right/>
      <top style="thin">
        <color theme="6" tint="0.39997558519241921"/>
      </top>
      <bottom/>
      <diagonal/>
    </border>
    <border>
      <left/>
      <right style="medium">
        <color rgb="FF000000"/>
      </right>
      <top style="thin">
        <color theme="6" tint="0.39997558519241921"/>
      </top>
      <bottom/>
      <diagonal/>
    </border>
    <border>
      <left style="medium">
        <color rgb="FF000000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medium">
        <color rgb="FF000000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medium">
        <color rgb="FF000000"/>
      </right>
      <top style="thin">
        <color theme="6" tint="0.39997558519241921"/>
      </top>
      <bottom style="thin">
        <color theme="6" tint="0.39997558519241921"/>
      </bottom>
      <diagonal/>
    </border>
    <border>
      <left/>
      <right style="medium">
        <color indexed="64"/>
      </right>
      <top style="thin">
        <color theme="6" tint="0.39997558519241921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theme="6" tint="0.39997558519241921"/>
      </bottom>
      <diagonal/>
    </border>
    <border>
      <left/>
      <right style="medium">
        <color rgb="FF000000"/>
      </right>
      <top style="medium">
        <color rgb="FF000000"/>
      </top>
      <bottom style="thin">
        <color theme="6" tint="0.3999755851924192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theme="6" tint="0.3999755851924192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</cellStyleXfs>
  <cellXfs count="292">
    <xf numFmtId="0" fontId="0" fillId="0" borderId="0" xfId="0"/>
    <xf numFmtId="0" fontId="5" fillId="0" borderId="0" xfId="0" applyFont="1"/>
    <xf numFmtId="165" fontId="5" fillId="0" borderId="0" xfId="1" applyNumberFormat="1" applyFont="1"/>
    <xf numFmtId="0" fontId="5" fillId="0" borderId="0" xfId="1" applyNumberFormat="1" applyFont="1"/>
    <xf numFmtId="168" fontId="6" fillId="0" borderId="6" xfId="0" applyNumberFormat="1" applyFont="1" applyBorder="1" applyAlignment="1">
      <alignment horizontal="center" vertical="center"/>
    </xf>
    <xf numFmtId="166" fontId="6" fillId="0" borderId="6" xfId="0" applyNumberFormat="1" applyFont="1" applyBorder="1" applyAlignment="1">
      <alignment horizontal="center" vertical="center"/>
    </xf>
    <xf numFmtId="176" fontId="6" fillId="0" borderId="6" xfId="0" applyNumberFormat="1" applyFont="1" applyBorder="1"/>
    <xf numFmtId="0" fontId="6" fillId="0" borderId="6" xfId="0" applyFont="1" applyBorder="1"/>
    <xf numFmtId="169" fontId="6" fillId="0" borderId="5" xfId="0" applyNumberFormat="1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/>
    </xf>
    <xf numFmtId="182" fontId="6" fillId="0" borderId="5" xfId="0" applyNumberFormat="1" applyFont="1" applyBorder="1" applyAlignment="1">
      <alignment horizontal="center" vertical="center"/>
    </xf>
    <xf numFmtId="0" fontId="10" fillId="2" borderId="0" xfId="0" applyFont="1" applyFill="1"/>
    <xf numFmtId="0" fontId="10" fillId="2" borderId="10" xfId="0" applyFont="1" applyFill="1" applyBorder="1"/>
    <xf numFmtId="0" fontId="10" fillId="2" borderId="9" xfId="0" applyFont="1" applyFill="1" applyBorder="1"/>
    <xf numFmtId="0" fontId="10" fillId="2" borderId="8" xfId="0" applyFont="1" applyFill="1" applyBorder="1"/>
    <xf numFmtId="0" fontId="11" fillId="0" borderId="0" xfId="0" applyFont="1" applyBorder="1"/>
    <xf numFmtId="0" fontId="10" fillId="2" borderId="4" xfId="0" applyFont="1" applyFill="1" applyBorder="1"/>
    <xf numFmtId="0" fontId="10" fillId="2" borderId="0" xfId="0" applyFont="1" applyFill="1" applyBorder="1"/>
    <xf numFmtId="0" fontId="10" fillId="2" borderId="3" xfId="0" applyFont="1" applyFill="1" applyBorder="1"/>
    <xf numFmtId="166" fontId="10" fillId="2" borderId="0" xfId="0" applyNumberFormat="1" applyFont="1" applyFill="1"/>
    <xf numFmtId="0" fontId="14" fillId="0" borderId="0" xfId="0" applyFont="1" applyBorder="1"/>
    <xf numFmtId="0" fontId="12" fillId="0" borderId="0" xfId="0" applyFont="1" applyBorder="1"/>
    <xf numFmtId="166" fontId="12" fillId="0" borderId="0" xfId="0" applyNumberFormat="1" applyFont="1" applyBorder="1" applyAlignment="1"/>
    <xf numFmtId="9" fontId="12" fillId="0" borderId="0" xfId="1" applyFont="1" applyBorder="1"/>
    <xf numFmtId="0" fontId="10" fillId="0" borderId="0" xfId="0" applyFont="1" applyFill="1" applyBorder="1"/>
    <xf numFmtId="0" fontId="12" fillId="0" borderId="0" xfId="0" applyFont="1" applyFill="1" applyBorder="1"/>
    <xf numFmtId="165" fontId="10" fillId="0" borderId="0" xfId="1" applyNumberFormat="1" applyFont="1" applyFill="1" applyBorder="1"/>
    <xf numFmtId="0" fontId="10" fillId="2" borderId="2" xfId="0" applyFont="1" applyFill="1" applyBorder="1"/>
    <xf numFmtId="0" fontId="10" fillId="2" borderId="1" xfId="0" applyFont="1" applyFill="1" applyBorder="1"/>
    <xf numFmtId="0" fontId="15" fillId="0" borderId="0" xfId="0" applyFont="1" applyFill="1" applyBorder="1"/>
    <xf numFmtId="0" fontId="11" fillId="0" borderId="4" xfId="0" applyFont="1" applyBorder="1"/>
    <xf numFmtId="0" fontId="10" fillId="0" borderId="0" xfId="0" applyFont="1" applyBorder="1"/>
    <xf numFmtId="0" fontId="10" fillId="0" borderId="4" xfId="0" applyFont="1" applyBorder="1"/>
    <xf numFmtId="164" fontId="10" fillId="0" borderId="0" xfId="0" applyNumberFormat="1" applyFont="1" applyBorder="1"/>
    <xf numFmtId="2" fontId="10" fillId="0" borderId="0" xfId="0" applyNumberFormat="1" applyFont="1" applyBorder="1"/>
    <xf numFmtId="166" fontId="10" fillId="0" borderId="0" xfId="0" applyNumberFormat="1" applyFont="1" applyBorder="1"/>
    <xf numFmtId="165" fontId="10" fillId="0" borderId="0" xfId="1" applyNumberFormat="1" applyFont="1" applyBorder="1"/>
    <xf numFmtId="2" fontId="10" fillId="2" borderId="0" xfId="0" applyNumberFormat="1" applyFont="1" applyFill="1"/>
    <xf numFmtId="0" fontId="11" fillId="0" borderId="10" xfId="0" applyFont="1" applyBorder="1"/>
    <xf numFmtId="0" fontId="11" fillId="0" borderId="9" xfId="0" applyFont="1" applyBorder="1"/>
    <xf numFmtId="0" fontId="10" fillId="0" borderId="15" xfId="0" applyFont="1" applyFill="1" applyBorder="1"/>
    <xf numFmtId="165" fontId="10" fillId="0" borderId="15" xfId="1" applyNumberFormat="1" applyFont="1" applyFill="1" applyBorder="1"/>
    <xf numFmtId="0" fontId="10" fillId="0" borderId="10" xfId="0" applyFont="1" applyBorder="1"/>
    <xf numFmtId="0" fontId="10" fillId="0" borderId="1" xfId="0" applyFont="1" applyBorder="1"/>
    <xf numFmtId="9" fontId="10" fillId="0" borderId="1" xfId="0" applyNumberFormat="1" applyFont="1" applyBorder="1"/>
    <xf numFmtId="164" fontId="10" fillId="0" borderId="0" xfId="0" applyNumberFormat="1" applyFont="1" applyFill="1" applyBorder="1"/>
    <xf numFmtId="0" fontId="10" fillId="0" borderId="3" xfId="0" applyFont="1" applyBorder="1"/>
    <xf numFmtId="2" fontId="10" fillId="0" borderId="0" xfId="0" applyNumberFormat="1" applyFont="1" applyFill="1" applyBorder="1"/>
    <xf numFmtId="0" fontId="10" fillId="0" borderId="4" xfId="0" applyFont="1" applyFill="1" applyBorder="1"/>
    <xf numFmtId="0" fontId="10" fillId="0" borderId="0" xfId="0" applyFont="1" applyFill="1"/>
    <xf numFmtId="0" fontId="10" fillId="0" borderId="2" xfId="0" applyFont="1" applyBorder="1"/>
    <xf numFmtId="0" fontId="10" fillId="0" borderId="0" xfId="0" applyFont="1" applyBorder="1" applyAlignment="1">
      <alignment wrapText="1"/>
    </xf>
    <xf numFmtId="0" fontId="10" fillId="0" borderId="0" xfId="0" applyFont="1" applyFill="1" applyBorder="1" applyAlignment="1">
      <alignment wrapText="1"/>
    </xf>
    <xf numFmtId="0" fontId="10" fillId="0" borderId="3" xfId="0" applyFont="1" applyBorder="1" applyAlignment="1">
      <alignment wrapText="1"/>
    </xf>
    <xf numFmtId="166" fontId="10" fillId="0" borderId="0" xfId="0" applyNumberFormat="1" applyFont="1" applyFill="1" applyBorder="1" applyAlignment="1">
      <alignment wrapText="1"/>
    </xf>
    <xf numFmtId="2" fontId="10" fillId="0" borderId="7" xfId="0" applyNumberFormat="1" applyFont="1" applyFill="1" applyBorder="1" applyAlignment="1">
      <alignment wrapText="1"/>
    </xf>
    <xf numFmtId="9" fontId="10" fillId="0" borderId="3" xfId="1" applyFont="1" applyFill="1" applyBorder="1" applyAlignment="1">
      <alignment wrapText="1"/>
    </xf>
    <xf numFmtId="0" fontId="10" fillId="0" borderId="6" xfId="0" applyFont="1" applyFill="1" applyBorder="1" applyAlignment="1"/>
    <xf numFmtId="0" fontId="10" fillId="0" borderId="6" xfId="0" applyFont="1" applyBorder="1" applyAlignment="1">
      <alignment horizontal="center"/>
    </xf>
    <xf numFmtId="44" fontId="10" fillId="2" borderId="0" xfId="3" applyFont="1" applyFill="1"/>
    <xf numFmtId="0" fontId="10" fillId="2" borderId="0" xfId="3" applyNumberFormat="1" applyFont="1" applyFill="1"/>
    <xf numFmtId="44" fontId="10" fillId="2" borderId="0" xfId="3" applyNumberFormat="1" applyFont="1" applyFill="1"/>
    <xf numFmtId="44" fontId="10" fillId="2" borderId="0" xfId="0" applyNumberFormat="1" applyFont="1" applyFill="1"/>
    <xf numFmtId="0" fontId="12" fillId="0" borderId="13" xfId="0" applyFont="1" applyBorder="1"/>
    <xf numFmtId="0" fontId="14" fillId="0" borderId="13" xfId="0" applyFont="1" applyFill="1" applyBorder="1"/>
    <xf numFmtId="0" fontId="12" fillId="0" borderId="10" xfId="0" applyFont="1" applyBorder="1"/>
    <xf numFmtId="0" fontId="12" fillId="0" borderId="9" xfId="0" applyFont="1" applyBorder="1"/>
    <xf numFmtId="0" fontId="19" fillId="0" borderId="0" xfId="0" applyFont="1" applyFill="1"/>
    <xf numFmtId="0" fontId="10" fillId="0" borderId="0" xfId="0" applyFont="1" applyAlignment="1">
      <alignment wrapText="1"/>
    </xf>
    <xf numFmtId="0" fontId="10" fillId="0" borderId="0" xfId="0" applyFont="1"/>
    <xf numFmtId="0" fontId="17" fillId="0" borderId="0" xfId="0" applyFont="1"/>
    <xf numFmtId="0" fontId="10" fillId="4" borderId="0" xfId="0" applyFont="1" applyFill="1" applyBorder="1"/>
    <xf numFmtId="0" fontId="20" fillId="0" borderId="0" xfId="0" applyFont="1" applyAlignment="1">
      <alignment horizontal="center" vertical="top" wrapText="1"/>
    </xf>
    <xf numFmtId="9" fontId="10" fillId="0" borderId="0" xfId="0" applyNumberFormat="1" applyFont="1"/>
    <xf numFmtId="0" fontId="10" fillId="0" borderId="0" xfId="0" applyFont="1" applyFill="1" applyAlignment="1">
      <alignment horizontal="left"/>
    </xf>
    <xf numFmtId="0" fontId="21" fillId="0" borderId="0" xfId="0" applyFont="1" applyAlignment="1">
      <alignment horizontal="center" vertical="top" wrapText="1"/>
    </xf>
    <xf numFmtId="0" fontId="22" fillId="4" borderId="0" xfId="0" applyFont="1" applyFill="1" applyBorder="1"/>
    <xf numFmtId="0" fontId="23" fillId="0" borderId="0" xfId="0" applyFont="1"/>
    <xf numFmtId="0" fontId="10" fillId="0" borderId="0" xfId="0" applyNumberFormat="1" applyFont="1" applyFill="1"/>
    <xf numFmtId="0" fontId="22" fillId="4" borderId="11" xfId="0" applyFont="1" applyFill="1" applyBorder="1"/>
    <xf numFmtId="0" fontId="10" fillId="4" borderId="7" xfId="0" applyFont="1" applyFill="1" applyBorder="1"/>
    <xf numFmtId="0" fontId="10" fillId="4" borderId="11" xfId="0" applyFont="1" applyFill="1" applyBorder="1"/>
    <xf numFmtId="2" fontId="10" fillId="0" borderId="0" xfId="0" applyNumberFormat="1" applyFont="1" applyFill="1" applyBorder="1" applyAlignment="1">
      <alignment wrapText="1"/>
    </xf>
    <xf numFmtId="9" fontId="10" fillId="2" borderId="0" xfId="1" applyFont="1" applyFill="1" applyBorder="1"/>
    <xf numFmtId="166" fontId="10" fillId="2" borderId="3" xfId="0" applyNumberFormat="1" applyFont="1" applyFill="1" applyBorder="1"/>
    <xf numFmtId="2" fontId="10" fillId="2" borderId="3" xfId="0" applyNumberFormat="1" applyFont="1" applyFill="1" applyBorder="1"/>
    <xf numFmtId="2" fontId="10" fillId="2" borderId="0" xfId="0" applyNumberFormat="1" applyFont="1" applyFill="1" applyBorder="1"/>
    <xf numFmtId="0" fontId="7" fillId="5" borderId="16" xfId="0" applyFont="1" applyFill="1" applyBorder="1" applyAlignment="1">
      <alignment horizontal="center" vertical="top" wrapText="1"/>
    </xf>
    <xf numFmtId="0" fontId="7" fillId="5" borderId="6" xfId="0" applyFont="1" applyFill="1" applyBorder="1" applyAlignment="1">
      <alignment horizontal="center" vertical="top" wrapText="1"/>
    </xf>
    <xf numFmtId="0" fontId="7" fillId="5" borderId="30" xfId="0" applyFont="1" applyFill="1" applyBorder="1" applyAlignment="1">
      <alignment horizontal="center" vertical="top" wrapText="1"/>
    </xf>
    <xf numFmtId="165" fontId="6" fillId="0" borderId="6" xfId="1" applyNumberFormat="1" applyFont="1" applyBorder="1"/>
    <xf numFmtId="170" fontId="6" fillId="0" borderId="6" xfId="0" applyNumberFormat="1" applyFont="1" applyBorder="1"/>
    <xf numFmtId="0" fontId="6" fillId="0" borderId="6" xfId="0" applyFont="1" applyBorder="1" applyAlignment="1"/>
    <xf numFmtId="0" fontId="6" fillId="0" borderId="6" xfId="0" applyFont="1" applyBorder="1" applyAlignment="1">
      <alignment horizontal="left"/>
    </xf>
    <xf numFmtId="0" fontId="6" fillId="0" borderId="24" xfId="0" applyFont="1" applyBorder="1"/>
    <xf numFmtId="173" fontId="6" fillId="0" borderId="21" xfId="0" applyNumberFormat="1" applyFont="1" applyBorder="1"/>
    <xf numFmtId="0" fontId="6" fillId="0" borderId="25" xfId="0" applyFont="1" applyBorder="1"/>
    <xf numFmtId="174" fontId="6" fillId="0" borderId="5" xfId="0" applyNumberFormat="1" applyFont="1" applyBorder="1"/>
    <xf numFmtId="175" fontId="6" fillId="0" borderId="5" xfId="0" applyNumberFormat="1" applyFont="1" applyBorder="1"/>
    <xf numFmtId="0" fontId="6" fillId="0" borderId="6" xfId="0" applyFont="1" applyBorder="1" applyAlignment="1">
      <alignment horizontal="center" vertical="top" wrapText="1"/>
    </xf>
    <xf numFmtId="0" fontId="6" fillId="0" borderId="5" xfId="0" applyFont="1" applyBorder="1"/>
    <xf numFmtId="171" fontId="6" fillId="0" borderId="25" xfId="0" applyNumberFormat="1" applyFont="1" applyBorder="1"/>
    <xf numFmtId="172" fontId="6" fillId="0" borderId="5" xfId="0" applyNumberFormat="1" applyFont="1" applyBorder="1"/>
    <xf numFmtId="165" fontId="6" fillId="0" borderId="19" xfId="1" applyNumberFormat="1" applyFont="1" applyBorder="1"/>
    <xf numFmtId="170" fontId="6" fillId="0" borderId="20" xfId="0" applyNumberFormat="1" applyFont="1" applyBorder="1"/>
    <xf numFmtId="165" fontId="6" fillId="0" borderId="20" xfId="0" applyNumberFormat="1" applyFont="1" applyBorder="1" applyAlignment="1">
      <alignment horizontal="left"/>
    </xf>
    <xf numFmtId="177" fontId="6" fillId="0" borderId="16" xfId="1" applyNumberFormat="1" applyFont="1" applyBorder="1"/>
    <xf numFmtId="178" fontId="6" fillId="0" borderId="6" xfId="1" applyNumberFormat="1" applyFont="1" applyBorder="1"/>
    <xf numFmtId="179" fontId="6" fillId="0" borderId="6" xfId="1" applyNumberFormat="1" applyFont="1" applyBorder="1"/>
    <xf numFmtId="164" fontId="6" fillId="0" borderId="6" xfId="1" applyNumberFormat="1" applyFont="1" applyBorder="1"/>
    <xf numFmtId="0" fontId="6" fillId="0" borderId="22" xfId="1" applyNumberFormat="1" applyFont="1" applyBorder="1" applyAlignment="1"/>
    <xf numFmtId="0" fontId="6" fillId="0" borderId="6" xfId="1" applyNumberFormat="1" applyFont="1" applyBorder="1" applyAlignment="1"/>
    <xf numFmtId="0" fontId="6" fillId="0" borderId="18" xfId="1" applyNumberFormat="1" applyFont="1" applyBorder="1" applyAlignment="1"/>
    <xf numFmtId="164" fontId="6" fillId="0" borderId="31" xfId="1" applyNumberFormat="1" applyFont="1" applyBorder="1"/>
    <xf numFmtId="0" fontId="6" fillId="0" borderId="32" xfId="1" applyNumberFormat="1" applyFont="1" applyBorder="1" applyAlignment="1">
      <alignment vertical="center" wrapText="1"/>
    </xf>
    <xf numFmtId="0" fontId="6" fillId="0" borderId="6" xfId="1" applyNumberFormat="1" applyFont="1" applyBorder="1"/>
    <xf numFmtId="0" fontId="6" fillId="0" borderId="5" xfId="1" applyNumberFormat="1" applyFont="1" applyBorder="1"/>
    <xf numFmtId="0" fontId="7" fillId="5" borderId="31" xfId="0" applyFont="1" applyFill="1" applyBorder="1" applyAlignment="1">
      <alignment horizontal="center" vertical="top" wrapText="1"/>
    </xf>
    <xf numFmtId="0" fontId="6" fillId="0" borderId="16" xfId="0" applyFont="1" applyBorder="1" applyAlignment="1">
      <alignment horizontal="left" vertical="top" wrapText="1"/>
    </xf>
    <xf numFmtId="166" fontId="6" fillId="0" borderId="6" xfId="0" applyNumberFormat="1" applyFont="1" applyBorder="1" applyAlignment="1">
      <alignment horizontal="left" vertical="top" wrapText="1"/>
    </xf>
    <xf numFmtId="0" fontId="6" fillId="0" borderId="6" xfId="0" applyNumberFormat="1" applyFont="1" applyBorder="1" applyAlignment="1">
      <alignment horizontal="left" vertical="top" wrapText="1"/>
    </xf>
    <xf numFmtId="14" fontId="6" fillId="0" borderId="6" xfId="0" applyNumberFormat="1" applyFont="1" applyBorder="1" applyAlignment="1">
      <alignment horizontal="left" vertical="top" wrapText="1"/>
    </xf>
    <xf numFmtId="9" fontId="6" fillId="0" borderId="31" xfId="1" applyFont="1" applyBorder="1" applyAlignment="1">
      <alignment horizontal="left" vertical="top" wrapText="1"/>
    </xf>
    <xf numFmtId="181" fontId="6" fillId="0" borderId="30" xfId="1" applyNumberFormat="1" applyFont="1" applyBorder="1" applyAlignment="1">
      <alignment horizontal="left" vertical="top" wrapText="1"/>
    </xf>
    <xf numFmtId="0" fontId="6" fillId="0" borderId="16" xfId="0" applyFont="1" applyBorder="1" applyAlignment="1">
      <alignment wrapText="1"/>
    </xf>
    <xf numFmtId="0" fontId="6" fillId="0" borderId="6" xfId="0" applyNumberFormat="1" applyFont="1" applyBorder="1"/>
    <xf numFmtId="0" fontId="24" fillId="6" borderId="35" xfId="0" applyFont="1" applyFill="1" applyBorder="1" applyAlignment="1">
      <alignment vertical="top" wrapText="1"/>
    </xf>
    <xf numFmtId="15" fontId="6" fillId="7" borderId="46" xfId="0" applyNumberFormat="1" applyFont="1" applyFill="1" applyBorder="1" applyAlignment="1">
      <alignment horizontal="left" vertical="top" wrapText="1"/>
    </xf>
    <xf numFmtId="0" fontId="5" fillId="0" borderId="0" xfId="0" applyFont="1" applyAlignment="1">
      <alignment horizontal="left"/>
    </xf>
    <xf numFmtId="15" fontId="6" fillId="0" borderId="47" xfId="0" applyNumberFormat="1" applyFont="1" applyBorder="1" applyAlignment="1">
      <alignment horizontal="left" vertical="top" wrapText="1"/>
    </xf>
    <xf numFmtId="0" fontId="6" fillId="7" borderId="47" xfId="0" applyFont="1" applyFill="1" applyBorder="1" applyAlignment="1">
      <alignment horizontal="left" vertical="top" wrapText="1"/>
    </xf>
    <xf numFmtId="0" fontId="6" fillId="0" borderId="47" xfId="0" applyFont="1" applyBorder="1" applyAlignment="1">
      <alignment horizontal="left" vertical="top" wrapText="1"/>
    </xf>
    <xf numFmtId="0" fontId="6" fillId="7" borderId="36" xfId="0" applyFont="1" applyFill="1" applyBorder="1" applyAlignment="1">
      <alignment horizontal="left" vertical="top" wrapText="1"/>
    </xf>
    <xf numFmtId="0" fontId="6" fillId="7" borderId="38" xfId="0" applyFont="1" applyFill="1" applyBorder="1" applyAlignment="1">
      <alignment horizontal="left" vertical="top" wrapText="1"/>
    </xf>
    <xf numFmtId="0" fontId="6" fillId="7" borderId="48" xfId="0" applyFont="1" applyFill="1" applyBorder="1" applyAlignment="1">
      <alignment horizontal="left" vertical="top" wrapText="1"/>
    </xf>
    <xf numFmtId="0" fontId="6" fillId="0" borderId="6" xfId="0" applyFont="1" applyBorder="1" applyAlignment="1">
      <alignment vertical="top"/>
    </xf>
    <xf numFmtId="0" fontId="6" fillId="0" borderId="6" xfId="0" applyFont="1" applyBorder="1" applyAlignment="1">
      <alignment vertical="top" wrapText="1"/>
    </xf>
    <xf numFmtId="0" fontId="25" fillId="0" borderId="16" xfId="0" applyFont="1" applyBorder="1"/>
    <xf numFmtId="0" fontId="25" fillId="0" borderId="6" xfId="0" applyFont="1" applyBorder="1"/>
    <xf numFmtId="0" fontId="10" fillId="8" borderId="0" xfId="0" applyFont="1" applyFill="1" applyBorder="1"/>
    <xf numFmtId="0" fontId="10" fillId="8" borderId="0" xfId="1" applyNumberFormat="1" applyFont="1" applyFill="1" applyBorder="1"/>
    <xf numFmtId="0" fontId="15" fillId="8" borderId="0" xfId="0" applyFont="1" applyFill="1" applyBorder="1"/>
    <xf numFmtId="0" fontId="15" fillId="8" borderId="9" xfId="0" applyFont="1" applyFill="1" applyBorder="1"/>
    <xf numFmtId="0" fontId="10" fillId="8" borderId="0" xfId="0" quotePrefix="1" applyFont="1" applyFill="1"/>
    <xf numFmtId="0" fontId="10" fillId="8" borderId="0" xfId="0" applyFont="1" applyFill="1"/>
    <xf numFmtId="0" fontId="11" fillId="8" borderId="0" xfId="0" applyFont="1" applyFill="1" applyBorder="1"/>
    <xf numFmtId="0" fontId="13" fillId="8" borderId="0" xfId="0" applyFont="1" applyFill="1" applyBorder="1"/>
    <xf numFmtId="10" fontId="15" fillId="8" borderId="0" xfId="1" applyNumberFormat="1" applyFont="1" applyFill="1" applyBorder="1"/>
    <xf numFmtId="166" fontId="10" fillId="8" borderId="0" xfId="0" applyNumberFormat="1" applyFont="1" applyFill="1" applyBorder="1"/>
    <xf numFmtId="0" fontId="10" fillId="8" borderId="3" xfId="0" applyFont="1" applyFill="1" applyBorder="1"/>
    <xf numFmtId="9" fontId="10" fillId="8" borderId="3" xfId="1" applyFont="1" applyFill="1" applyBorder="1"/>
    <xf numFmtId="0" fontId="15" fillId="8" borderId="0" xfId="0" applyFont="1" applyFill="1" applyBorder="1" applyAlignment="1">
      <alignment wrapText="1"/>
    </xf>
    <xf numFmtId="15" fontId="10" fillId="8" borderId="3" xfId="0" applyNumberFormat="1" applyFont="1" applyFill="1" applyBorder="1" applyAlignment="1">
      <alignment wrapText="1"/>
    </xf>
    <xf numFmtId="0" fontId="10" fillId="8" borderId="3" xfId="1" applyNumberFormat="1" applyFont="1" applyFill="1" applyBorder="1"/>
    <xf numFmtId="0" fontId="15" fillId="9" borderId="0" xfId="0" applyFont="1" applyFill="1" applyBorder="1"/>
    <xf numFmtId="0" fontId="12" fillId="9" borderId="0" xfId="0" applyFont="1" applyFill="1" applyBorder="1"/>
    <xf numFmtId="0" fontId="10" fillId="9" borderId="0" xfId="0" applyFont="1" applyFill="1" applyBorder="1"/>
    <xf numFmtId="0" fontId="10" fillId="9" borderId="15" xfId="0" applyFont="1" applyFill="1" applyBorder="1"/>
    <xf numFmtId="0" fontId="15" fillId="9" borderId="4" xfId="0" applyFont="1" applyFill="1" applyBorder="1"/>
    <xf numFmtId="166" fontId="10" fillId="0" borderId="0" xfId="0" applyNumberFormat="1" applyFont="1" applyFill="1" applyBorder="1"/>
    <xf numFmtId="164" fontId="15" fillId="8" borderId="0" xfId="0" applyNumberFormat="1" applyFont="1" applyFill="1" applyBorder="1"/>
    <xf numFmtId="164" fontId="15" fillId="8" borderId="15" xfId="0" applyNumberFormat="1" applyFont="1" applyFill="1" applyBorder="1"/>
    <xf numFmtId="164" fontId="10" fillId="0" borderId="15" xfId="0" applyNumberFormat="1" applyFont="1" applyFill="1" applyBorder="1"/>
    <xf numFmtId="0" fontId="10" fillId="0" borderId="25" xfId="0" applyFont="1" applyFill="1" applyBorder="1" applyAlignment="1"/>
    <xf numFmtId="0" fontId="10" fillId="0" borderId="25" xfId="0" applyFont="1" applyBorder="1" applyAlignment="1">
      <alignment horizontal="center"/>
    </xf>
    <xf numFmtId="164" fontId="10" fillId="0" borderId="4" xfId="0" applyNumberFormat="1" applyFont="1" applyFill="1" applyBorder="1"/>
    <xf numFmtId="184" fontId="10" fillId="0" borderId="3" xfId="0" applyNumberFormat="1" applyFont="1" applyFill="1" applyBorder="1" applyAlignment="1">
      <alignment wrapText="1"/>
    </xf>
    <xf numFmtId="0" fontId="10" fillId="0" borderId="16" xfId="0" applyFont="1" applyFill="1" applyBorder="1" applyAlignment="1"/>
    <xf numFmtId="0" fontId="10" fillId="0" borderId="57" xfId="0" applyFont="1" applyBorder="1" applyAlignment="1">
      <alignment horizontal="center"/>
    </xf>
    <xf numFmtId="0" fontId="10" fillId="0" borderId="8" xfId="0" applyFont="1" applyBorder="1"/>
    <xf numFmtId="0" fontId="15" fillId="0" borderId="9" xfId="0" applyFont="1" applyBorder="1" applyAlignment="1"/>
    <xf numFmtId="0" fontId="12" fillId="0" borderId="63" xfId="0" applyFont="1" applyBorder="1"/>
    <xf numFmtId="0" fontId="12" fillId="0" borderId="27" xfId="0" applyFont="1" applyBorder="1"/>
    <xf numFmtId="164" fontId="10" fillId="0" borderId="3" xfId="0" applyNumberFormat="1" applyFont="1" applyFill="1" applyBorder="1"/>
    <xf numFmtId="0" fontId="15" fillId="9" borderId="56" xfId="0" applyFont="1" applyFill="1" applyBorder="1"/>
    <xf numFmtId="164" fontId="10" fillId="0" borderId="52" xfId="0" applyNumberFormat="1" applyFont="1" applyFill="1" applyBorder="1"/>
    <xf numFmtId="0" fontId="16" fillId="3" borderId="10" xfId="0" applyFont="1" applyFill="1" applyBorder="1" applyAlignment="1"/>
    <xf numFmtId="0" fontId="16" fillId="3" borderId="9" xfId="0" applyFont="1" applyFill="1" applyBorder="1" applyAlignment="1"/>
    <xf numFmtId="0" fontId="16" fillId="3" borderId="8" xfId="0" applyFont="1" applyFill="1" applyBorder="1" applyAlignment="1"/>
    <xf numFmtId="0" fontId="14" fillId="0" borderId="10" xfId="0" applyFont="1" applyFill="1" applyBorder="1"/>
    <xf numFmtId="0" fontId="14" fillId="0" borderId="9" xfId="0" applyFont="1" applyFill="1" applyBorder="1"/>
    <xf numFmtId="0" fontId="14" fillId="0" borderId="8" xfId="0" applyFont="1" applyFill="1" applyBorder="1"/>
    <xf numFmtId="165" fontId="10" fillId="0" borderId="3" xfId="1" applyNumberFormat="1" applyFont="1" applyFill="1" applyBorder="1"/>
    <xf numFmtId="0" fontId="10" fillId="0" borderId="2" xfId="0" applyFont="1" applyFill="1" applyBorder="1"/>
    <xf numFmtId="0" fontId="10" fillId="0" borderId="1" xfId="0" applyFont="1" applyFill="1" applyBorder="1"/>
    <xf numFmtId="0" fontId="10" fillId="0" borderId="59" xfId="0" applyFont="1" applyFill="1" applyBorder="1"/>
    <xf numFmtId="2" fontId="12" fillId="0" borderId="3" xfId="0" applyNumberFormat="1" applyFont="1" applyBorder="1" applyAlignment="1"/>
    <xf numFmtId="2" fontId="10" fillId="0" borderId="3" xfId="0" applyNumberFormat="1" applyFont="1" applyFill="1" applyBorder="1"/>
    <xf numFmtId="164" fontId="10" fillId="0" borderId="1" xfId="0" applyNumberFormat="1" applyFont="1" applyBorder="1"/>
    <xf numFmtId="164" fontId="10" fillId="0" borderId="59" xfId="0" applyNumberFormat="1" applyFont="1" applyBorder="1"/>
    <xf numFmtId="0" fontId="10" fillId="0" borderId="10" xfId="0" applyFont="1" applyFill="1" applyBorder="1"/>
    <xf numFmtId="0" fontId="10" fillId="0" borderId="3" xfId="0" applyFont="1" applyFill="1" applyBorder="1"/>
    <xf numFmtId="2" fontId="10" fillId="0" borderId="1" xfId="0" applyNumberFormat="1" applyFont="1" applyFill="1" applyBorder="1"/>
    <xf numFmtId="0" fontId="10" fillId="0" borderId="9" xfId="0" applyFont="1" applyFill="1" applyBorder="1"/>
    <xf numFmtId="0" fontId="10" fillId="0" borderId="8" xfId="0" applyFont="1" applyFill="1" applyBorder="1"/>
    <xf numFmtId="0" fontId="15" fillId="0" borderId="0" xfId="0" applyFont="1" applyBorder="1"/>
    <xf numFmtId="164" fontId="10" fillId="0" borderId="9" xfId="0" applyNumberFormat="1" applyFont="1" applyFill="1" applyBorder="1"/>
    <xf numFmtId="0" fontId="9" fillId="3" borderId="4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11" fillId="0" borderId="0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1" fillId="8" borderId="12" xfId="0" applyFont="1" applyFill="1" applyBorder="1" applyAlignment="1">
      <alignment horizontal="center"/>
    </xf>
    <xf numFmtId="0" fontId="11" fillId="8" borderId="13" xfId="0" applyFont="1" applyFill="1" applyBorder="1" applyAlignment="1">
      <alignment horizontal="center"/>
    </xf>
    <xf numFmtId="0" fontId="11" fillId="8" borderId="27" xfId="0" applyFont="1" applyFill="1" applyBorder="1" applyAlignment="1">
      <alignment horizontal="center"/>
    </xf>
    <xf numFmtId="0" fontId="11" fillId="8" borderId="14" xfId="0" applyFont="1" applyFill="1" applyBorder="1" applyAlignment="1">
      <alignment horizontal="center"/>
    </xf>
    <xf numFmtId="0" fontId="11" fillId="8" borderId="15" xfId="0" applyFont="1" applyFill="1" applyBorder="1" applyAlignment="1">
      <alignment horizontal="center"/>
    </xf>
    <xf numFmtId="0" fontId="11" fillId="8" borderId="52" xfId="0" applyFont="1" applyFill="1" applyBorder="1" applyAlignment="1">
      <alignment horizontal="center"/>
    </xf>
    <xf numFmtId="0" fontId="11" fillId="8" borderId="58" xfId="0" applyFont="1" applyFill="1" applyBorder="1" applyAlignment="1">
      <alignment horizontal="center"/>
    </xf>
    <xf numFmtId="0" fontId="11" fillId="8" borderId="1" xfId="0" applyFont="1" applyFill="1" applyBorder="1" applyAlignment="1">
      <alignment horizontal="center"/>
    </xf>
    <xf numFmtId="0" fontId="11" fillId="8" borderId="59" xfId="0" applyFont="1" applyFill="1" applyBorder="1" applyAlignment="1">
      <alignment horizontal="center"/>
    </xf>
    <xf numFmtId="0" fontId="9" fillId="3" borderId="54" xfId="0" applyFont="1" applyFill="1" applyBorder="1" applyAlignment="1">
      <alignment horizontal="center"/>
    </xf>
    <xf numFmtId="0" fontId="9" fillId="3" borderId="55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12" fillId="8" borderId="0" xfId="0" applyFont="1" applyFill="1" applyBorder="1" applyAlignment="1">
      <alignment horizontal="center"/>
    </xf>
    <xf numFmtId="167" fontId="12" fillId="8" borderId="0" xfId="0" applyNumberFormat="1" applyFont="1" applyFill="1" applyBorder="1" applyAlignment="1">
      <alignment horizontal="center"/>
    </xf>
    <xf numFmtId="167" fontId="12" fillId="8" borderId="3" xfId="0" applyNumberFormat="1" applyFont="1" applyFill="1" applyBorder="1" applyAlignment="1">
      <alignment horizontal="center"/>
    </xf>
    <xf numFmtId="15" fontId="12" fillId="8" borderId="0" xfId="0" applyNumberFormat="1" applyFont="1" applyFill="1" applyBorder="1" applyAlignment="1">
      <alignment horizontal="center"/>
    </xf>
    <xf numFmtId="0" fontId="12" fillId="8" borderId="3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11" fillId="8" borderId="10" xfId="0" applyFont="1" applyFill="1" applyBorder="1" applyAlignment="1">
      <alignment horizontal="left" vertical="top" wrapText="1"/>
    </xf>
    <xf numFmtId="0" fontId="11" fillId="8" borderId="9" xfId="0" applyFont="1" applyFill="1" applyBorder="1" applyAlignment="1">
      <alignment horizontal="left" vertical="top" wrapText="1"/>
    </xf>
    <xf numFmtId="0" fontId="11" fillId="8" borderId="2" xfId="0" applyFont="1" applyFill="1" applyBorder="1" applyAlignment="1">
      <alignment horizontal="left" vertical="top" wrapText="1"/>
    </xf>
    <xf numFmtId="0" fontId="11" fillId="8" borderId="1" xfId="0" applyFont="1" applyFill="1" applyBorder="1" applyAlignment="1">
      <alignment horizontal="left" vertical="top" wrapText="1"/>
    </xf>
    <xf numFmtId="0" fontId="10" fillId="0" borderId="9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3" borderId="53" xfId="0" applyFont="1" applyFill="1" applyBorder="1" applyAlignment="1">
      <alignment horizontal="center"/>
    </xf>
    <xf numFmtId="0" fontId="16" fillId="3" borderId="60" xfId="0" applyFont="1" applyFill="1" applyBorder="1" applyAlignment="1">
      <alignment horizontal="center"/>
    </xf>
    <xf numFmtId="0" fontId="16" fillId="3" borderId="61" xfId="0" applyFont="1" applyFill="1" applyBorder="1" applyAlignment="1">
      <alignment horizontal="center"/>
    </xf>
    <xf numFmtId="0" fontId="16" fillId="3" borderId="62" xfId="0" applyFont="1" applyFill="1" applyBorder="1" applyAlignment="1">
      <alignment horizontal="center"/>
    </xf>
    <xf numFmtId="0" fontId="26" fillId="5" borderId="10" xfId="0" applyFont="1" applyFill="1" applyBorder="1" applyAlignment="1">
      <alignment horizontal="center" vertical="center" wrapText="1"/>
    </xf>
    <xf numFmtId="0" fontId="26" fillId="5" borderId="9" xfId="0" applyFont="1" applyFill="1" applyBorder="1" applyAlignment="1">
      <alignment horizontal="center" vertical="center" wrapText="1"/>
    </xf>
    <xf numFmtId="0" fontId="26" fillId="5" borderId="8" xfId="0" applyFont="1" applyFill="1" applyBorder="1" applyAlignment="1">
      <alignment horizontal="center" vertical="center" wrapText="1"/>
    </xf>
    <xf numFmtId="0" fontId="7" fillId="5" borderId="28" xfId="0" applyFont="1" applyFill="1" applyBorder="1" applyAlignment="1">
      <alignment horizontal="center" vertical="top" wrapText="1"/>
    </xf>
    <xf numFmtId="0" fontId="7" fillId="5" borderId="29" xfId="0" applyFont="1" applyFill="1" applyBorder="1" applyAlignment="1">
      <alignment horizontal="center" vertical="top" wrapText="1"/>
    </xf>
    <xf numFmtId="0" fontId="7" fillId="5" borderId="30" xfId="0" applyFont="1" applyFill="1" applyBorder="1" applyAlignment="1">
      <alignment horizontal="center" vertical="top" wrapText="1"/>
    </xf>
    <xf numFmtId="0" fontId="7" fillId="5" borderId="16" xfId="0" applyFont="1" applyFill="1" applyBorder="1" applyAlignment="1">
      <alignment horizontal="center" vertical="top" wrapText="1"/>
    </xf>
    <xf numFmtId="0" fontId="7" fillId="5" borderId="6" xfId="0" applyFont="1" applyFill="1" applyBorder="1" applyAlignment="1">
      <alignment horizontal="center" vertical="top" wrapText="1"/>
    </xf>
    <xf numFmtId="0" fontId="7" fillId="5" borderId="20" xfId="0" applyFont="1" applyFill="1" applyBorder="1" applyAlignment="1">
      <alignment horizontal="center" vertical="top" wrapText="1"/>
    </xf>
    <xf numFmtId="0" fontId="7" fillId="5" borderId="23" xfId="0" applyFont="1" applyFill="1" applyBorder="1" applyAlignment="1">
      <alignment horizontal="center" vertical="top" wrapText="1"/>
    </xf>
    <xf numFmtId="0" fontId="27" fillId="0" borderId="31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180" fontId="6" fillId="0" borderId="6" xfId="0" applyNumberFormat="1" applyFont="1" applyBorder="1" applyAlignment="1">
      <alignment horizontal="center" vertical="center"/>
    </xf>
    <xf numFmtId="180" fontId="6" fillId="0" borderId="5" xfId="0" applyNumberFormat="1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0" fontId="7" fillId="5" borderId="17" xfId="0" applyFont="1" applyFill="1" applyBorder="1" applyAlignment="1">
      <alignment horizontal="center" vertical="top" wrapText="1"/>
    </xf>
    <xf numFmtId="0" fontId="7" fillId="5" borderId="18" xfId="0" applyFont="1" applyFill="1" applyBorder="1" applyAlignment="1">
      <alignment horizontal="center" vertical="top" wrapText="1"/>
    </xf>
    <xf numFmtId="0" fontId="7" fillId="5" borderId="22" xfId="0" applyFont="1" applyFill="1" applyBorder="1" applyAlignment="1">
      <alignment horizontal="center" vertical="top" wrapText="1"/>
    </xf>
    <xf numFmtId="183" fontId="6" fillId="0" borderId="6" xfId="0" applyNumberFormat="1" applyFont="1" applyBorder="1" applyAlignment="1">
      <alignment horizontal="center"/>
    </xf>
    <xf numFmtId="9" fontId="6" fillId="0" borderId="6" xfId="1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31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26" xfId="1" applyNumberFormat="1" applyFont="1" applyBorder="1" applyAlignment="1">
      <alignment horizontal="center" vertical="center"/>
    </xf>
    <xf numFmtId="0" fontId="6" fillId="0" borderId="20" xfId="1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6" fillId="0" borderId="27" xfId="0" applyFont="1" applyBorder="1" applyAlignment="1">
      <alignment horizontal="center" vertical="top" wrapText="1"/>
    </xf>
    <xf numFmtId="0" fontId="6" fillId="0" borderId="33" xfId="1" applyNumberFormat="1" applyFont="1" applyBorder="1" applyAlignment="1">
      <alignment horizontal="center" vertical="center" wrapText="1"/>
    </xf>
    <xf numFmtId="0" fontId="6" fillId="0" borderId="34" xfId="1" applyNumberFormat="1" applyFont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top" wrapText="1"/>
    </xf>
    <xf numFmtId="0" fontId="6" fillId="0" borderId="39" xfId="0" applyFont="1" applyBorder="1" applyAlignment="1">
      <alignment horizontal="left" vertical="top" wrapText="1"/>
    </xf>
    <xf numFmtId="0" fontId="6" fillId="0" borderId="41" xfId="0" applyFont="1" applyBorder="1" applyAlignment="1">
      <alignment horizontal="left" vertical="top" wrapText="1"/>
    </xf>
    <xf numFmtId="0" fontId="6" fillId="0" borderId="42" xfId="0" applyFont="1" applyBorder="1" applyAlignment="1">
      <alignment horizontal="left" vertical="top" wrapText="1"/>
    </xf>
    <xf numFmtId="0" fontId="6" fillId="7" borderId="44" xfId="0" applyFont="1" applyFill="1" applyBorder="1" applyAlignment="1">
      <alignment horizontal="left" vertical="top" wrapText="1"/>
    </xf>
    <xf numFmtId="0" fontId="6" fillId="7" borderId="45" xfId="0" applyFont="1" applyFill="1" applyBorder="1" applyAlignment="1">
      <alignment horizontal="left" vertical="top" wrapText="1"/>
    </xf>
    <xf numFmtId="0" fontId="6" fillId="7" borderId="49" xfId="0" applyFont="1" applyFill="1" applyBorder="1" applyAlignment="1">
      <alignment horizontal="left" vertical="top" wrapText="1"/>
    </xf>
    <xf numFmtId="0" fontId="6" fillId="7" borderId="50" xfId="0" applyFont="1" applyFill="1" applyBorder="1" applyAlignment="1">
      <alignment horizontal="left" vertical="top" wrapText="1"/>
    </xf>
    <xf numFmtId="0" fontId="6" fillId="7" borderId="51" xfId="0" applyFont="1" applyFill="1" applyBorder="1" applyAlignment="1">
      <alignment horizontal="left" vertical="top" wrapText="1"/>
    </xf>
    <xf numFmtId="0" fontId="6" fillId="0" borderId="37" xfId="0" applyFont="1" applyBorder="1" applyAlignment="1">
      <alignment horizontal="left" vertical="top" wrapText="1"/>
    </xf>
    <xf numFmtId="0" fontId="6" fillId="0" borderId="36" xfId="0" applyFont="1" applyBorder="1" applyAlignment="1">
      <alignment horizontal="left" vertical="top" wrapText="1"/>
    </xf>
    <xf numFmtId="0" fontId="6" fillId="0" borderId="38" xfId="0" applyFont="1" applyBorder="1" applyAlignment="1">
      <alignment horizontal="left" vertical="top" wrapText="1"/>
    </xf>
    <xf numFmtId="0" fontId="6" fillId="7" borderId="39" xfId="0" applyFont="1" applyFill="1" applyBorder="1" applyAlignment="1">
      <alignment horizontal="left" vertical="top" wrapText="1"/>
    </xf>
    <xf numFmtId="0" fontId="6" fillId="7" borderId="41" xfId="0" applyFont="1" applyFill="1" applyBorder="1" applyAlignment="1">
      <alignment horizontal="left" vertical="top" wrapText="1"/>
    </xf>
    <xf numFmtId="0" fontId="6" fillId="7" borderId="42" xfId="0" applyFont="1" applyFill="1" applyBorder="1" applyAlignment="1">
      <alignment horizontal="left" vertical="top" wrapText="1"/>
    </xf>
    <xf numFmtId="0" fontId="7" fillId="5" borderId="4" xfId="0" applyFont="1" applyFill="1" applyBorder="1" applyAlignment="1">
      <alignment horizontal="center" vertical="top" wrapText="1"/>
    </xf>
    <xf numFmtId="0" fontId="7" fillId="5" borderId="0" xfId="0" applyFont="1" applyFill="1" applyBorder="1" applyAlignment="1">
      <alignment horizontal="center" vertical="top" wrapText="1"/>
    </xf>
    <xf numFmtId="0" fontId="7" fillId="5" borderId="3" xfId="0" applyFont="1" applyFill="1" applyBorder="1" applyAlignment="1">
      <alignment horizontal="center" vertical="top" wrapText="1"/>
    </xf>
    <xf numFmtId="0" fontId="24" fillId="6" borderId="40" xfId="0" applyFont="1" applyFill="1" applyBorder="1" applyAlignment="1">
      <alignment horizontal="center" vertical="top" wrapText="1"/>
    </xf>
    <xf numFmtId="0" fontId="24" fillId="6" borderId="43" xfId="0" applyFont="1" applyFill="1" applyBorder="1" applyAlignment="1">
      <alignment horizontal="center" vertical="top" wrapText="1"/>
    </xf>
    <xf numFmtId="0" fontId="18" fillId="4" borderId="11" xfId="2" applyFont="1" applyFill="1" applyBorder="1" applyAlignment="1" applyProtection="1">
      <alignment horizontal="center"/>
    </xf>
    <xf numFmtId="0" fontId="18" fillId="4" borderId="0" xfId="2" applyFont="1" applyFill="1" applyBorder="1" applyAlignment="1" applyProtection="1">
      <alignment horizontal="center"/>
    </xf>
    <xf numFmtId="0" fontId="18" fillId="4" borderId="7" xfId="2" applyFont="1" applyFill="1" applyBorder="1" applyAlignment="1" applyProtection="1">
      <alignment horizontal="center"/>
    </xf>
    <xf numFmtId="0" fontId="17" fillId="0" borderId="0" xfId="0" applyFont="1" applyAlignment="1">
      <alignment horizontal="center" wrapText="1"/>
    </xf>
    <xf numFmtId="0" fontId="17" fillId="0" borderId="7" xfId="0" applyFont="1" applyBorder="1" applyAlignment="1">
      <alignment horizontal="center" wrapText="1"/>
    </xf>
  </cellXfs>
  <cellStyles count="4">
    <cellStyle name="Currency" xfId="3" builtinId="4"/>
    <cellStyle name="Hyperlink" xfId="2" builtinId="8"/>
    <cellStyle name="Normal" xfId="0" builtinId="0"/>
    <cellStyle name="Percent" xfId="1" builtinId="5"/>
  </cellStyles>
  <dxfs count="6">
    <dxf>
      <font>
        <strike val="0"/>
        <outline val="0"/>
        <shadow val="0"/>
        <vertAlign val="baseline"/>
        <name val="Georgia"/>
        <scheme val="minor"/>
      </font>
      <fill>
        <patternFill patternType="solid">
          <fgColor indexed="64"/>
          <bgColor theme="6" tint="0.39997558519241921"/>
        </patternFill>
      </fill>
    </dxf>
    <dxf>
      <font>
        <strike val="0"/>
        <outline val="0"/>
        <shadow val="0"/>
        <vertAlign val="baseline"/>
        <name val="Georgia"/>
        <scheme val="minor"/>
      </font>
      <fill>
        <patternFill patternType="solid">
          <fgColor indexed="64"/>
          <bgColor theme="6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eorgia"/>
        <scheme val="minor"/>
      </font>
      <fill>
        <patternFill patternType="solid">
          <fgColor indexed="64"/>
          <bgColor theme="6" tint="0.39997558519241921"/>
        </patternFill>
      </fill>
    </dxf>
    <dxf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vertAlign val="baseline"/>
        <name val="Georgia"/>
        <scheme val="minor"/>
      </font>
    </dxf>
    <dxf>
      <font>
        <strike val="0"/>
        <outline val="0"/>
        <shadow val="0"/>
        <vertAlign val="baseline"/>
        <name val="Georgia"/>
        <scheme val="minor"/>
      </font>
      <fill>
        <patternFill patternType="solid">
          <fgColor indexed="64"/>
          <bgColor theme="6" tint="0.399975585192419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Mash Time &amp; Temperature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CalcWorksheet!$B$20:$B$27</c:f>
              <c:numCache>
                <c:formatCode>General</c:formatCode>
                <c:ptCount val="8"/>
                <c:pt idx="0">
                  <c:v>1</c:v>
                </c:pt>
                <c:pt idx="1">
                  <c:v>61</c:v>
                </c:pt>
                <c:pt idx="2">
                  <c:v>75</c:v>
                </c:pt>
                <c:pt idx="3">
                  <c:v>90</c:v>
                </c:pt>
              </c:numCache>
            </c:numRef>
          </c:xVal>
          <c:yVal>
            <c:numRef>
              <c:f>CalcWorksheet!$C$20:$C$27</c:f>
              <c:numCache>
                <c:formatCode>General</c:formatCode>
                <c:ptCount val="8"/>
                <c:pt idx="0">
                  <c:v>155</c:v>
                </c:pt>
                <c:pt idx="1">
                  <c:v>153</c:v>
                </c:pt>
                <c:pt idx="2">
                  <c:v>165</c:v>
                </c:pt>
                <c:pt idx="3">
                  <c:v>165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822-984C-9175-749CBDF367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4871296"/>
        <c:axId val="265419392"/>
      </c:scatterChart>
      <c:valAx>
        <c:axId val="264871296"/>
        <c:scaling>
          <c:orientation val="minMax"/>
        </c:scaling>
        <c:delete val="0"/>
        <c:axPos val="b"/>
        <c:majorGridlines/>
        <c:minorGridlines/>
        <c:numFmt formatCode="General" sourceLinked="1"/>
        <c:majorTickMark val="none"/>
        <c:minorTickMark val="none"/>
        <c:tickLblPos val="nextTo"/>
        <c:crossAx val="265419392"/>
        <c:crosses val="autoZero"/>
        <c:crossBetween val="midCat"/>
      </c:valAx>
      <c:valAx>
        <c:axId val="265419392"/>
        <c:scaling>
          <c:orientation val="minMax"/>
          <c:max val="175"/>
          <c:min val="100"/>
        </c:scaling>
        <c:delete val="0"/>
        <c:axPos val="l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 °F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6487129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9523</xdr:colOff>
      <xdr:row>1</xdr:row>
      <xdr:rowOff>0</xdr:rowOff>
    </xdr:from>
    <xdr:to>
      <xdr:col>3</xdr:col>
      <xdr:colOff>1266264</xdr:colOff>
      <xdr:row>10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C2:E63" totalsRowShown="0" headerRowDxfId="5" dataDxfId="4" tableBorderDxfId="3">
  <autoFilter ref="C2:E63" xr:uid="{00000000-0009-0000-0100-000002000000}"/>
  <sortState xmlns:xlrd2="http://schemas.microsoft.com/office/spreadsheetml/2017/richdata2" ref="C3:E63">
    <sortCondition ref="D2:D63"/>
  </sortState>
  <tableColumns count="3">
    <tableColumn id="1" xr3:uid="{00000000-0010-0000-0000-000001000000}" name="Type" dataDxfId="2"/>
    <tableColumn id="2" xr3:uid="{00000000-0010-0000-0000-000002000000}" name="Color" dataDxfId="1"/>
    <tableColumn id="3" xr3:uid="{00000000-0010-0000-0000-000003000000}" name="Gravity" dataDxfId="0"/>
  </tableColumns>
  <tableStyleInfo name="TableStyleMedium2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vic">
  <a:themeElements>
    <a:clrScheme name="Civic">
      <a:dk1>
        <a:sysClr val="windowText" lastClr="000000"/>
      </a:dk1>
      <a:lt1>
        <a:sysClr val="window" lastClr="FFFFFF"/>
      </a:lt1>
      <a:dk2>
        <a:srgbClr val="646B86"/>
      </a:dk2>
      <a:lt2>
        <a:srgbClr val="C5D1D7"/>
      </a:lt2>
      <a:accent1>
        <a:srgbClr val="D16349"/>
      </a:accent1>
      <a:accent2>
        <a:srgbClr val="CCB400"/>
      </a:accent2>
      <a:accent3>
        <a:srgbClr val="8CADAE"/>
      </a:accent3>
      <a:accent4>
        <a:srgbClr val="8C7B70"/>
      </a:accent4>
      <a:accent5>
        <a:srgbClr val="8FB08C"/>
      </a:accent5>
      <a:accent6>
        <a:srgbClr val="D19049"/>
      </a:accent6>
      <a:hlink>
        <a:srgbClr val="00A3D6"/>
      </a:hlink>
      <a:folHlink>
        <a:srgbClr val="694F07"/>
      </a:folHlink>
    </a:clrScheme>
    <a:fontScheme name="Civic">
      <a:majorFont>
        <a:latin typeface="Georgia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Georgia"/>
        <a:ea typeface=""/>
        <a:cs typeface=""/>
        <a:font script="Jpan" typeface="ＭＳ Ｐ明朝"/>
        <a:font script="Hang" typeface="바탕"/>
        <a:font script="Hans" typeface="方正舒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Civic">
      <a:fillStyleLst>
        <a:solidFill>
          <a:schemeClr val="phClr"/>
        </a:solidFill>
        <a:solidFill>
          <a:schemeClr val="phClr">
            <a:tint val="45000"/>
          </a:schemeClr>
        </a:solidFill>
        <a:solidFill>
          <a:schemeClr val="phClr">
            <a:tint val="95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1429" cap="flat" cmpd="sng" algn="ctr">
          <a:solidFill>
            <a:schemeClr val="phClr"/>
          </a:solidFill>
          <a:prstDash val="sysDash"/>
        </a:ln>
        <a:ln w="200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25400" dir="5400000" rotWithShape="0">
              <a:srgbClr val="000000">
                <a:alpha val="4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contourW="9525" prstMaterial="matte">
            <a:bevelT w="0" h="0"/>
            <a:contourClr>
              <a:schemeClr val="phClr">
                <a:shade val="70000"/>
                <a:satMod val="105000"/>
              </a:schemeClr>
            </a:contourClr>
          </a:sp3d>
        </a:effectStyle>
        <a:effectStyle>
          <a:effectLst>
            <a:outerShdw blurRad="50800" dist="25400" dir="5400000" rotWithShape="0">
              <a:srgbClr val="000000">
                <a:alpha val="45000"/>
              </a:srgbClr>
            </a:outerShdw>
          </a:effectLst>
          <a:scene3d>
            <a:camera prst="orthographicFront" fov="0">
              <a:rot lat="0" lon="0" rev="0"/>
            </a:camera>
            <a:lightRig rig="soft" dir="b">
              <a:rot lat="0" lon="0" rev="0"/>
            </a:lightRig>
          </a:scene3d>
          <a:sp3d prstMaterial="dkEdge">
            <a:bevelT w="63500" h="63500" prst="cross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70000"/>
                <a:satMod val="115000"/>
              </a:schemeClr>
              <a:schemeClr val="phClr">
                <a:tint val="85000"/>
              </a:schemeClr>
            </a:duotone>
          </a:blip>
          <a:tile tx="0" ty="0" sx="85000" sy="85000" flip="none" algn="tl"/>
        </a:blipFill>
        <a:blipFill>
          <a:blip xmlns:r="http://schemas.openxmlformats.org/officeDocument/2006/relationships" r:embed="rId2">
            <a:duotone>
              <a:schemeClr val="phClr">
                <a:shade val="65000"/>
                <a:satMod val="115000"/>
              </a:schemeClr>
              <a:schemeClr val="phClr">
                <a:tint val="85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://www.homebrewtalk.com/f36/malt-table-gravity-points-per-lb-32983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4"/>
  <sheetViews>
    <sheetView tabSelected="1" topLeftCell="I1" zoomScaleNormal="100" workbookViewId="0">
      <selection activeCell="Q21" sqref="Q21:T21"/>
    </sheetView>
  </sheetViews>
  <sheetFormatPr defaultColWidth="14.109375" defaultRowHeight="14.25" x14ac:dyDescent="0.2"/>
  <cols>
    <col min="1" max="1" width="17" style="11" bestFit="1" customWidth="1"/>
    <col min="2" max="2" width="10.109375" style="11" customWidth="1"/>
    <col min="3" max="3" width="12.44140625" style="11" bestFit="1" customWidth="1"/>
    <col min="4" max="4" width="12.77734375" style="11" bestFit="1" customWidth="1"/>
    <col min="5" max="5" width="22.33203125" style="11" bestFit="1" customWidth="1"/>
    <col min="6" max="6" width="14.6640625" style="11" bestFit="1" customWidth="1"/>
    <col min="7" max="7" width="9.5546875" style="11" bestFit="1" customWidth="1"/>
    <col min="8" max="8" width="12.21875" style="11" bestFit="1" customWidth="1"/>
    <col min="9" max="9" width="15.77734375" style="11" bestFit="1" customWidth="1"/>
    <col min="10" max="10" width="6.88671875" style="11" bestFit="1" customWidth="1"/>
    <col min="11" max="11" width="13.5546875" style="11" bestFit="1" customWidth="1"/>
    <col min="12" max="12" width="13.33203125" style="11" bestFit="1" customWidth="1"/>
    <col min="13" max="13" width="15.77734375" style="11" bestFit="1" customWidth="1"/>
    <col min="14" max="14" width="8" style="11" bestFit="1" customWidth="1"/>
    <col min="15" max="15" width="9.33203125" style="11" bestFit="1" customWidth="1"/>
    <col min="16" max="16" width="9.5546875" style="11" bestFit="1" customWidth="1"/>
    <col min="17" max="17" width="18.5546875" style="11" bestFit="1" customWidth="1"/>
    <col min="18" max="18" width="12" style="11" bestFit="1" customWidth="1"/>
    <col min="19" max="19" width="12.44140625" style="11" bestFit="1" customWidth="1"/>
    <col min="20" max="20" width="9.5546875" style="11" bestFit="1" customWidth="1"/>
    <col min="21" max="23" width="14.109375" style="11" customWidth="1"/>
    <col min="24" max="16384" width="14.109375" style="11"/>
  </cols>
  <sheetData>
    <row r="1" spans="1:18" ht="18.75" thickBot="1" x14ac:dyDescent="0.25">
      <c r="A1" s="213" t="s">
        <v>290</v>
      </c>
      <c r="B1" s="214"/>
      <c r="C1" s="214"/>
      <c r="D1" s="214"/>
      <c r="E1" s="215" t="s">
        <v>0</v>
      </c>
      <c r="F1" s="215"/>
      <c r="G1" s="215"/>
      <c r="H1" s="215"/>
      <c r="I1" s="215"/>
      <c r="J1" s="215"/>
      <c r="K1" s="215"/>
      <c r="L1" s="216"/>
    </row>
    <row r="2" spans="1:18" x14ac:dyDescent="0.2">
      <c r="A2" s="12"/>
      <c r="B2" s="13"/>
      <c r="C2" s="13"/>
      <c r="D2" s="14"/>
      <c r="E2" s="15" t="s">
        <v>1</v>
      </c>
      <c r="F2" s="217"/>
      <c r="G2" s="217"/>
      <c r="H2" s="217"/>
      <c r="I2" s="15" t="s">
        <v>2</v>
      </c>
      <c r="J2" s="218"/>
      <c r="K2" s="218"/>
      <c r="L2" s="219"/>
    </row>
    <row r="3" spans="1:18" x14ac:dyDescent="0.2">
      <c r="A3" s="16"/>
      <c r="B3" s="17"/>
      <c r="C3" s="17"/>
      <c r="D3" s="18"/>
      <c r="E3" s="15" t="s">
        <v>3</v>
      </c>
      <c r="F3" s="145"/>
      <c r="G3" s="15" t="s">
        <v>4</v>
      </c>
      <c r="H3" s="145"/>
      <c r="I3" s="15" t="s">
        <v>5</v>
      </c>
      <c r="J3" s="220"/>
      <c r="K3" s="217"/>
      <c r="L3" s="221"/>
      <c r="N3" s="19"/>
    </row>
    <row r="4" spans="1:18" x14ac:dyDescent="0.2">
      <c r="A4" s="16"/>
      <c r="B4" s="17"/>
      <c r="C4" s="17"/>
      <c r="D4" s="18"/>
      <c r="E4" s="15" t="s">
        <v>6</v>
      </c>
      <c r="F4" s="146"/>
      <c r="G4" s="20" t="s">
        <v>7</v>
      </c>
      <c r="H4" s="21">
        <f>F4+F4*J5</f>
        <v>0</v>
      </c>
      <c r="I4" s="15" t="s">
        <v>8</v>
      </c>
      <c r="J4" s="22" t="e">
        <f>F24</f>
        <v>#N/A</v>
      </c>
      <c r="K4" s="22" t="s">
        <v>9</v>
      </c>
      <c r="L4" s="186" t="e">
        <f>G27</f>
        <v>#N/A</v>
      </c>
    </row>
    <row r="5" spans="1:18" x14ac:dyDescent="0.2">
      <c r="A5" s="16"/>
      <c r="B5" s="17" t="s">
        <v>10</v>
      </c>
      <c r="C5" s="17"/>
      <c r="D5" s="18"/>
      <c r="E5" s="15" t="s">
        <v>11</v>
      </c>
      <c r="F5" s="21">
        <f>H4+(F6/60)</f>
        <v>1.5</v>
      </c>
      <c r="G5" s="15" t="s">
        <v>12</v>
      </c>
      <c r="H5" s="23" t="e">
        <f>VLOOKUP(B12, Admin!$A$2:$B$6, 2, FALSE)</f>
        <v>#N/A</v>
      </c>
      <c r="I5" s="24" t="s">
        <v>13</v>
      </c>
      <c r="J5" s="147">
        <v>0.05</v>
      </c>
      <c r="K5" s="25" t="s">
        <v>14</v>
      </c>
      <c r="L5" s="187">
        <f>H38</f>
        <v>0</v>
      </c>
    </row>
    <row r="6" spans="1:18" ht="15" thickBot="1" x14ac:dyDescent="0.25">
      <c r="A6" s="16"/>
      <c r="B6" s="17"/>
      <c r="C6" s="17"/>
      <c r="D6" s="17"/>
      <c r="E6" s="24" t="s">
        <v>67</v>
      </c>
      <c r="F6" s="29">
        <v>90</v>
      </c>
      <c r="G6" s="24" t="s">
        <v>68</v>
      </c>
      <c r="H6" s="23"/>
      <c r="I6" s="24"/>
      <c r="J6" s="147"/>
      <c r="K6" s="25"/>
      <c r="L6" s="187"/>
    </row>
    <row r="7" spans="1:18" ht="15" thickBot="1" x14ac:dyDescent="0.25">
      <c r="A7" s="16"/>
      <c r="B7" s="17"/>
      <c r="C7" s="17"/>
      <c r="D7" s="17"/>
      <c r="E7" s="230" t="s">
        <v>15</v>
      </c>
      <c r="F7" s="231"/>
      <c r="G7" s="231"/>
      <c r="H7" s="231"/>
      <c r="I7" s="231"/>
      <c r="J7" s="231"/>
      <c r="K7" s="231"/>
      <c r="L7" s="232"/>
      <c r="M7" s="176"/>
      <c r="N7" s="177"/>
      <c r="O7" s="178"/>
    </row>
    <row r="8" spans="1:18" x14ac:dyDescent="0.2">
      <c r="A8" s="16"/>
      <c r="B8" s="17"/>
      <c r="C8" s="17"/>
      <c r="D8" s="17"/>
      <c r="E8" s="171" t="s">
        <v>16</v>
      </c>
      <c r="F8" s="63" t="s">
        <v>17</v>
      </c>
      <c r="G8" s="63" t="s">
        <v>60</v>
      </c>
      <c r="H8" s="63" t="s">
        <v>18</v>
      </c>
      <c r="I8" s="64" t="s">
        <v>19</v>
      </c>
      <c r="J8" s="63" t="s">
        <v>20</v>
      </c>
      <c r="K8" s="63" t="s">
        <v>300</v>
      </c>
      <c r="L8" s="172" t="s">
        <v>21</v>
      </c>
      <c r="M8" s="179" t="s">
        <v>22</v>
      </c>
      <c r="N8" s="180" t="s">
        <v>23</v>
      </c>
      <c r="O8" s="181" t="s">
        <v>24</v>
      </c>
    </row>
    <row r="9" spans="1:18" x14ac:dyDescent="0.2">
      <c r="A9" s="16"/>
      <c r="B9" s="17"/>
      <c r="C9" s="17"/>
      <c r="D9" s="17"/>
      <c r="E9" s="158"/>
      <c r="F9" s="45" t="str">
        <f>IF(ISBLANK(E9),"",VLOOKUP(E9,Admin!$C$2:$E$74,2,FALSE))</f>
        <v/>
      </c>
      <c r="G9" s="24" t="str">
        <f>IF(ISBLANK(E9),"",VLOOKUP(E9,Admin!$C$2:$E$74,3,FALSE))</f>
        <v/>
      </c>
      <c r="H9" s="160"/>
      <c r="I9" s="26" t="str">
        <f t="shared" ref="I9:I14" si="0">IF(ISBLANK(E9),"",H9/$H$20)</f>
        <v/>
      </c>
      <c r="J9" s="156"/>
      <c r="K9" s="45" t="str">
        <f>IF(ISBLANK(E9),"",F9*H9)</f>
        <v/>
      </c>
      <c r="L9" s="173" t="str">
        <f t="shared" ref="L9:L14" si="1">IF(ISBLANK(E9),"",H9*((G9-1)*1000))</f>
        <v/>
      </c>
      <c r="M9" s="165">
        <f>IF(OR(J9="Mash",J9="STEEP"),L9,0)</f>
        <v>0</v>
      </c>
      <c r="N9" s="45">
        <f t="shared" ref="N9:N14" si="2">IF(J9="extract", L9,0)</f>
        <v>0</v>
      </c>
      <c r="O9" s="182" t="str">
        <f t="shared" ref="O9:O14" si="3">IF(ISBLANK(E9),"",L9/$L$20)</f>
        <v/>
      </c>
    </row>
    <row r="10" spans="1:18" ht="15" thickBot="1" x14ac:dyDescent="0.25">
      <c r="A10" s="27"/>
      <c r="B10" s="28"/>
      <c r="C10" s="28"/>
      <c r="D10" s="28"/>
      <c r="E10" s="158"/>
      <c r="F10" s="45" t="str">
        <f>IF(ISBLANK(E10),"",VLOOKUP(E10,Admin!$C$2:$E$74,2,FALSE))</f>
        <v/>
      </c>
      <c r="G10" s="24" t="str">
        <f>IF(ISBLANK(E10),"",VLOOKUP(E10,Admin!$C$2:$E$74,3,FALSE))</f>
        <v/>
      </c>
      <c r="H10" s="160"/>
      <c r="I10" s="26" t="str">
        <f t="shared" si="0"/>
        <v/>
      </c>
      <c r="J10" s="156"/>
      <c r="K10" s="45" t="str">
        <f t="shared" ref="K10:K14" si="4">IF(ISBLANK(E10),"",F10*H10)</f>
        <v/>
      </c>
      <c r="L10" s="173" t="str">
        <f t="shared" si="1"/>
        <v/>
      </c>
      <c r="M10" s="165">
        <f t="shared" ref="M10:M19" si="5">IF(OR(J10="Mash",J10="STEEP"),L10,0)</f>
        <v>0</v>
      </c>
      <c r="N10" s="45">
        <f t="shared" si="2"/>
        <v>0</v>
      </c>
      <c r="O10" s="182" t="str">
        <f t="shared" si="3"/>
        <v/>
      </c>
    </row>
    <row r="11" spans="1:18" x14ac:dyDescent="0.2">
      <c r="A11" s="222" t="s">
        <v>28</v>
      </c>
      <c r="B11" s="215"/>
      <c r="C11" s="215"/>
      <c r="D11" s="215"/>
      <c r="E11" s="158"/>
      <c r="F11" s="45" t="str">
        <f>IF(ISBLANK(E11),"",VLOOKUP(E11,Admin!$C$2:$E$74,2,FALSE))</f>
        <v/>
      </c>
      <c r="G11" s="24" t="str">
        <f>IF(ISBLANK(E11),"",VLOOKUP(E11,Admin!$C$2:$E$74,3,FALSE))</f>
        <v/>
      </c>
      <c r="H11" s="160"/>
      <c r="I11" s="26" t="str">
        <f t="shared" si="0"/>
        <v/>
      </c>
      <c r="J11" s="156"/>
      <c r="K11" s="45" t="str">
        <f t="shared" si="4"/>
        <v/>
      </c>
      <c r="L11" s="173" t="str">
        <f t="shared" si="1"/>
        <v/>
      </c>
      <c r="M11" s="165">
        <f t="shared" si="5"/>
        <v>0</v>
      </c>
      <c r="N11" s="45">
        <f t="shared" si="2"/>
        <v>0</v>
      </c>
      <c r="O11" s="182" t="str">
        <f t="shared" si="3"/>
        <v/>
      </c>
    </row>
    <row r="12" spans="1:18" x14ac:dyDescent="0.2">
      <c r="A12" s="30" t="s">
        <v>30</v>
      </c>
      <c r="B12" s="155"/>
      <c r="C12" s="31" t="s">
        <v>32</v>
      </c>
      <c r="D12" s="31">
        <f>H20</f>
        <v>0</v>
      </c>
      <c r="E12" s="158"/>
      <c r="F12" s="45" t="str">
        <f>IF(ISBLANK(E12),"",VLOOKUP(E12,Admin!$C$2:$E$74,2,FALSE))</f>
        <v/>
      </c>
      <c r="G12" s="24" t="str">
        <f>IF(ISBLANK(E12),"",VLOOKUP(E12,Admin!$C$2:$E$74,3,FALSE))</f>
        <v/>
      </c>
      <c r="H12" s="160"/>
      <c r="I12" s="26" t="str">
        <f t="shared" si="0"/>
        <v/>
      </c>
      <c r="J12" s="156"/>
      <c r="K12" s="45" t="str">
        <f t="shared" si="4"/>
        <v/>
      </c>
      <c r="L12" s="173" t="str">
        <f t="shared" si="1"/>
        <v/>
      </c>
      <c r="M12" s="165">
        <f t="shared" si="5"/>
        <v>0</v>
      </c>
      <c r="N12" s="45">
        <f t="shared" si="2"/>
        <v>0</v>
      </c>
      <c r="O12" s="182" t="str">
        <f t="shared" si="3"/>
        <v/>
      </c>
    </row>
    <row r="13" spans="1:18" x14ac:dyDescent="0.2">
      <c r="A13" s="32" t="s">
        <v>34</v>
      </c>
      <c r="B13" s="33" t="e">
        <f>(0.2/D13)*(C20-65)+C20</f>
        <v>#DIV/0!</v>
      </c>
      <c r="C13" s="31" t="s">
        <v>35</v>
      </c>
      <c r="D13" s="141"/>
      <c r="E13" s="158"/>
      <c r="F13" s="45" t="str">
        <f>IF(ISBLANK(E13),"",VLOOKUP(E13,Admin!$C$2:$E$74,2,FALSE))</f>
        <v/>
      </c>
      <c r="G13" s="24" t="str">
        <f>IF(ISBLANK(E13),"",VLOOKUP(E13,Admin!$C$2:$E$74,3,FALSE))</f>
        <v/>
      </c>
      <c r="H13" s="160"/>
      <c r="I13" s="26" t="str">
        <f t="shared" si="0"/>
        <v/>
      </c>
      <c r="J13" s="156"/>
      <c r="K13" s="45" t="str">
        <f t="shared" si="4"/>
        <v/>
      </c>
      <c r="L13" s="173" t="str">
        <f t="shared" si="1"/>
        <v/>
      </c>
      <c r="M13" s="165">
        <f t="shared" si="5"/>
        <v>0</v>
      </c>
      <c r="N13" s="45">
        <f t="shared" si="2"/>
        <v>0</v>
      </c>
      <c r="O13" s="182" t="str">
        <f t="shared" si="3"/>
        <v/>
      </c>
    </row>
    <row r="14" spans="1:18" x14ac:dyDescent="0.2">
      <c r="A14" s="32" t="s">
        <v>37</v>
      </c>
      <c r="B14" s="34">
        <f>D12*D13/4</f>
        <v>0</v>
      </c>
      <c r="C14" s="31"/>
      <c r="D14" s="31"/>
      <c r="E14" s="158"/>
      <c r="F14" s="45" t="str">
        <f>IF(ISBLANK(E14),"",VLOOKUP(E14,Admin!$C$2:$E$74,2,FALSE))</f>
        <v/>
      </c>
      <c r="G14" s="24" t="str">
        <f>IF(ISBLANK(E14),"",VLOOKUP(E14,Admin!$C$2:$E$74,3,FALSE))</f>
        <v/>
      </c>
      <c r="H14" s="160"/>
      <c r="I14" s="26" t="str">
        <f t="shared" si="0"/>
        <v/>
      </c>
      <c r="J14" s="156"/>
      <c r="K14" s="45" t="str">
        <f t="shared" si="4"/>
        <v/>
      </c>
      <c r="L14" s="173" t="str">
        <f t="shared" si="1"/>
        <v/>
      </c>
      <c r="M14" s="165">
        <f t="shared" si="5"/>
        <v>0</v>
      </c>
      <c r="N14" s="45">
        <f t="shared" si="2"/>
        <v>0</v>
      </c>
      <c r="O14" s="182" t="str">
        <f t="shared" si="3"/>
        <v/>
      </c>
    </row>
    <row r="15" spans="1:18" x14ac:dyDescent="0.2">
      <c r="A15" s="32" t="s">
        <v>39</v>
      </c>
      <c r="B15" s="148"/>
      <c r="C15" s="31" t="s">
        <v>40</v>
      </c>
      <c r="D15" s="36" t="e">
        <f>((B15-1)*1000)/((((L21+L22)/H4)))</f>
        <v>#DIV/0!</v>
      </c>
      <c r="E15" s="158"/>
      <c r="F15" s="45" t="str">
        <f>IF(ISBLANK(E15),"",VLOOKUP(E15,Admin!$C$2:$E$74,2,FALSE))</f>
        <v/>
      </c>
      <c r="G15" s="24" t="str">
        <f>IF(ISBLANK(E15),"",VLOOKUP(E15,Admin!$C$2:$E$74,3,FALSE))</f>
        <v/>
      </c>
      <c r="H15" s="160"/>
      <c r="I15" s="26"/>
      <c r="J15" s="156"/>
      <c r="K15" s="45" t="str">
        <f t="shared" ref="K15:K19" si="6">IF(ISBLANK(E15),"",F15*H15)</f>
        <v/>
      </c>
      <c r="L15" s="173" t="str">
        <f t="shared" ref="L15:L19" si="7">IF(ISBLANK(E15),"",H15*((G15-1)*1000))</f>
        <v/>
      </c>
      <c r="M15" s="165">
        <f t="shared" si="5"/>
        <v>0</v>
      </c>
      <c r="N15" s="45">
        <f t="shared" ref="N15:N19" si="8">IF(J15="extract", L15,0)</f>
        <v>0</v>
      </c>
      <c r="O15" s="182" t="str">
        <f t="shared" ref="O15:O19" si="9">IF(ISBLANK(E15),"",L15/$L$20)</f>
        <v/>
      </c>
      <c r="R15" s="37"/>
    </row>
    <row r="16" spans="1:18" ht="15" thickBot="1" x14ac:dyDescent="0.25">
      <c r="A16" s="32" t="s">
        <v>41</v>
      </c>
      <c r="B16" s="141"/>
      <c r="C16" s="31"/>
      <c r="D16" s="139"/>
      <c r="E16" s="158"/>
      <c r="F16" s="45" t="str">
        <f>IF(ISBLANK(E16),"",VLOOKUP(E16,Admin!$C$2:$E$74,2,FALSE))</f>
        <v/>
      </c>
      <c r="G16" s="24" t="str">
        <f>IF(ISBLANK(E16),"",VLOOKUP(E16,Admin!$C$2:$E$74,3,FALSE))</f>
        <v/>
      </c>
      <c r="H16" s="160"/>
      <c r="I16" s="26"/>
      <c r="J16" s="156"/>
      <c r="K16" s="45" t="str">
        <f t="shared" si="6"/>
        <v/>
      </c>
      <c r="L16" s="173" t="str">
        <f t="shared" si="7"/>
        <v/>
      </c>
      <c r="M16" s="165">
        <f t="shared" si="5"/>
        <v>0</v>
      </c>
      <c r="N16" s="45">
        <f t="shared" si="8"/>
        <v>0</v>
      </c>
      <c r="O16" s="182" t="str">
        <f t="shared" si="9"/>
        <v/>
      </c>
    </row>
    <row r="17" spans="1:20" x14ac:dyDescent="0.2">
      <c r="A17" s="223" t="s">
        <v>301</v>
      </c>
      <c r="B17" s="224"/>
      <c r="C17" s="224"/>
      <c r="D17" s="224"/>
      <c r="E17" s="158"/>
      <c r="F17" s="45" t="str">
        <f>IF(ISBLANK(E17),"",VLOOKUP(E17,Admin!$C$2:$E$74,2,FALSE))</f>
        <v/>
      </c>
      <c r="G17" s="24" t="str">
        <f>IF(ISBLANK(E17),"",VLOOKUP(E17,Admin!$C$2:$E$74,3,FALSE))</f>
        <v/>
      </c>
      <c r="H17" s="160"/>
      <c r="I17" s="26"/>
      <c r="J17" s="156"/>
      <c r="K17" s="45" t="str">
        <f t="shared" si="6"/>
        <v/>
      </c>
      <c r="L17" s="173" t="str">
        <f t="shared" si="7"/>
        <v/>
      </c>
      <c r="M17" s="165">
        <f t="shared" si="5"/>
        <v>0</v>
      </c>
      <c r="N17" s="45">
        <f t="shared" si="8"/>
        <v>0</v>
      </c>
      <c r="O17" s="182" t="str">
        <f t="shared" si="9"/>
        <v/>
      </c>
    </row>
    <row r="18" spans="1:20" ht="15" thickBot="1" x14ac:dyDescent="0.25">
      <c r="A18" s="225"/>
      <c r="B18" s="226"/>
      <c r="C18" s="226"/>
      <c r="D18" s="226"/>
      <c r="E18" s="158"/>
      <c r="F18" s="45" t="str">
        <f>IF(ISBLANK(E18),"",VLOOKUP(E18,Admin!$C$2:$E$74,2,FALSE))</f>
        <v/>
      </c>
      <c r="G18" s="24" t="str">
        <f>IF(ISBLANK(E18),"",VLOOKUP(E18,Admin!$C$2:$E$74,3,FALSE))</f>
        <v/>
      </c>
      <c r="H18" s="160"/>
      <c r="I18" s="26" t="str">
        <f t="shared" ref="I18:I19" si="10">IF(ISBLANK(E18),"",H18/$H$20)</f>
        <v/>
      </c>
      <c r="J18" s="156"/>
      <c r="K18" s="45" t="str">
        <f t="shared" si="6"/>
        <v/>
      </c>
      <c r="L18" s="173" t="str">
        <f t="shared" si="7"/>
        <v/>
      </c>
      <c r="M18" s="165">
        <f t="shared" si="5"/>
        <v>0</v>
      </c>
      <c r="N18" s="45">
        <f t="shared" si="8"/>
        <v>0</v>
      </c>
      <c r="O18" s="182" t="str">
        <f t="shared" si="9"/>
        <v/>
      </c>
    </row>
    <row r="19" spans="1:20" ht="15" thickBot="1" x14ac:dyDescent="0.25">
      <c r="A19" s="38" t="s">
        <v>42</v>
      </c>
      <c r="B19" s="39" t="s">
        <v>43</v>
      </c>
      <c r="C19" s="39" t="s">
        <v>44</v>
      </c>
      <c r="D19" s="39" t="s">
        <v>45</v>
      </c>
      <c r="E19" s="174"/>
      <c r="F19" s="162" t="str">
        <f>IF(ISBLANK(E19),"",VLOOKUP(E19,Admin!$C$2:$E$74,2,FALSE))</f>
        <v/>
      </c>
      <c r="G19" s="40" t="str">
        <f>IF(ISBLANK(E19),"",VLOOKUP(E19,Admin!$C$2:$E$74,3,FALSE))</f>
        <v/>
      </c>
      <c r="H19" s="161"/>
      <c r="I19" s="41" t="str">
        <f t="shared" si="10"/>
        <v/>
      </c>
      <c r="J19" s="157"/>
      <c r="K19" s="162" t="str">
        <f t="shared" si="6"/>
        <v/>
      </c>
      <c r="L19" s="175" t="str">
        <f t="shared" si="7"/>
        <v/>
      </c>
      <c r="M19" s="165">
        <f t="shared" si="5"/>
        <v>0</v>
      </c>
      <c r="N19" s="45">
        <f t="shared" si="8"/>
        <v>0</v>
      </c>
      <c r="O19" s="182" t="str">
        <f t="shared" si="9"/>
        <v/>
      </c>
    </row>
    <row r="20" spans="1:20" ht="15" thickBot="1" x14ac:dyDescent="0.25">
      <c r="A20" s="42">
        <v>1</v>
      </c>
      <c r="B20" s="142">
        <v>1</v>
      </c>
      <c r="C20" s="142">
        <v>155</v>
      </c>
      <c r="D20" s="170">
        <f>B21-B20</f>
        <v>60</v>
      </c>
      <c r="E20" s="32"/>
      <c r="F20" s="31"/>
      <c r="G20" s="31" t="s">
        <v>46</v>
      </c>
      <c r="H20" s="31">
        <f>SUM(H9:H19)</f>
        <v>0</v>
      </c>
      <c r="I20" s="44">
        <f>SUM(I9:I19)</f>
        <v>0</v>
      </c>
      <c r="J20" s="43"/>
      <c r="K20" s="188">
        <f>SUM(K9:K19)</f>
        <v>0</v>
      </c>
      <c r="L20" s="189">
        <f>SUM(L9:L19)</f>
        <v>0</v>
      </c>
      <c r="M20" s="183"/>
      <c r="N20" s="184"/>
      <c r="O20" s="185"/>
    </row>
    <row r="21" spans="1:20" x14ac:dyDescent="0.2">
      <c r="A21" s="32">
        <v>2</v>
      </c>
      <c r="B21" s="141">
        <v>61</v>
      </c>
      <c r="C21" s="141">
        <v>153</v>
      </c>
      <c r="D21" s="195"/>
      <c r="E21" s="190" t="s">
        <v>299</v>
      </c>
      <c r="F21" s="196" t="e">
        <f>K20/H4</f>
        <v>#DIV/0!</v>
      </c>
      <c r="G21" s="193"/>
      <c r="H21" s="194"/>
      <c r="J21" s="227" t="s">
        <v>48</v>
      </c>
      <c r="K21" s="227"/>
      <c r="L21" s="169">
        <f>SUM(M9:M19)</f>
        <v>0</v>
      </c>
      <c r="M21" s="198" t="s">
        <v>49</v>
      </c>
      <c r="N21" s="198"/>
      <c r="O21" s="198"/>
      <c r="P21" s="198"/>
      <c r="Q21" s="197" t="s">
        <v>50</v>
      </c>
      <c r="R21" s="198"/>
      <c r="S21" s="198"/>
      <c r="T21" s="198"/>
    </row>
    <row r="22" spans="1:20" x14ac:dyDescent="0.2">
      <c r="A22" s="32">
        <v>3</v>
      </c>
      <c r="B22" s="139">
        <v>75</v>
      </c>
      <c r="C22" s="139">
        <v>165</v>
      </c>
      <c r="D22" s="195">
        <f>mashtime4-B22</f>
        <v>15</v>
      </c>
      <c r="E22" s="48" t="s">
        <v>298</v>
      </c>
      <c r="F22" s="45" t="e">
        <f>1.4922*F21^0.6859</f>
        <v>#DIV/0!</v>
      </c>
      <c r="G22" s="24" t="e">
        <f>VLOOKUP(F22,srm,2,TRUE)</f>
        <v>#DIV/0!</v>
      </c>
      <c r="H22" s="191"/>
      <c r="I22" s="24"/>
      <c r="J22" s="228" t="s">
        <v>54</v>
      </c>
      <c r="K22" s="228"/>
      <c r="L22" s="46">
        <f>SUM(N9:N19)</f>
        <v>0</v>
      </c>
      <c r="M22" s="17" t="s">
        <v>296</v>
      </c>
      <c r="N22" s="17" t="s">
        <v>55</v>
      </c>
      <c r="O22" s="17" t="s">
        <v>56</v>
      </c>
      <c r="P22" s="18" t="s">
        <v>57</v>
      </c>
      <c r="Q22" s="17" t="s">
        <v>58</v>
      </c>
      <c r="R22" s="17" t="s">
        <v>59</v>
      </c>
      <c r="S22" s="18" t="s">
        <v>60</v>
      </c>
      <c r="T22" s="11" t="s">
        <v>61</v>
      </c>
    </row>
    <row r="23" spans="1:20" ht="15" thickBot="1" x14ac:dyDescent="0.25">
      <c r="A23" s="48">
        <v>4</v>
      </c>
      <c r="B23" s="141">
        <v>90</v>
      </c>
      <c r="C23" s="141">
        <v>165</v>
      </c>
      <c r="D23" s="195"/>
      <c r="E23" s="48" t="s">
        <v>51</v>
      </c>
      <c r="F23" s="159" t="e">
        <f>(F24-1)*(H4/F5)+1</f>
        <v>#N/A</v>
      </c>
      <c r="G23" s="47" t="e">
        <f>(-1*616.868)+(1111.14*F23)-(630.272*F23^2)+(135.997*F23^3)</f>
        <v>#N/A</v>
      </c>
      <c r="H23" s="191" t="s">
        <v>53</v>
      </c>
      <c r="I23" s="24"/>
      <c r="J23" s="31" t="s">
        <v>63</v>
      </c>
      <c r="K23" s="35" t="e">
        <f>H38/((F24-1)*1000)</f>
        <v>#N/A</v>
      </c>
      <c r="L23" s="46"/>
      <c r="M23" s="17" t="s">
        <v>64</v>
      </c>
      <c r="N23" s="139">
        <f>batchsize/2</f>
        <v>0</v>
      </c>
      <c r="O23" s="83">
        <v>0.57999999999999996</v>
      </c>
      <c r="P23" s="85" t="e">
        <f>(batchsize*targetp)*O23/N23</f>
        <v>#N/A</v>
      </c>
      <c r="Q23" s="139">
        <v>15.4</v>
      </c>
      <c r="R23" s="140">
        <v>7.2</v>
      </c>
      <c r="S23" s="84">
        <f>(((R26/1.04)/(258.6-(((R26/1.04)/258.2)*227.1)))+1)</f>
        <v>1.057860655900456</v>
      </c>
      <c r="T23" s="19">
        <f>(IF(Q23=0,"NaN", 1-0.000856829*(Q23/Q26)+ 0.00349412*(R23/Q26)))</f>
        <v>1.0119624974000001</v>
      </c>
    </row>
    <row r="24" spans="1:20" ht="15" thickBot="1" x14ac:dyDescent="0.25">
      <c r="A24" s="48">
        <v>5</v>
      </c>
      <c r="B24" s="143"/>
      <c r="C24" s="144"/>
      <c r="D24" s="31">
        <f>B25-B24</f>
        <v>0</v>
      </c>
      <c r="E24" s="48" t="s">
        <v>62</v>
      </c>
      <c r="F24" s="159" t="e">
        <f>((L21*H5+L22)/H4)/1000+1</f>
        <v>#N/A</v>
      </c>
      <c r="G24" s="47" t="e">
        <f>(-1*616.868)+(1111.14*F24)-(630.272*F24^2)+(135.997*F24^3)</f>
        <v>#N/A</v>
      </c>
      <c r="H24" s="191" t="s">
        <v>53</v>
      </c>
      <c r="I24" s="211" t="s">
        <v>65</v>
      </c>
      <c r="J24" s="211"/>
      <c r="K24" s="211"/>
      <c r="L24" s="212"/>
      <c r="M24" s="17" t="s">
        <v>66</v>
      </c>
      <c r="N24" s="139">
        <f>batchsize/2</f>
        <v>0</v>
      </c>
      <c r="O24" s="83">
        <v>0.42</v>
      </c>
      <c r="P24" s="85" t="e">
        <f>(batchsize*targetp)*O24/N24</f>
        <v>#N/A</v>
      </c>
      <c r="R24" s="17" t="s">
        <v>294</v>
      </c>
      <c r="S24" s="83"/>
      <c r="T24" s="85"/>
    </row>
    <row r="25" spans="1:20" ht="15" x14ac:dyDescent="0.25">
      <c r="A25" s="32">
        <v>6</v>
      </c>
      <c r="B25" s="139"/>
      <c r="C25" s="139"/>
      <c r="D25" s="31"/>
      <c r="E25" s="48" t="s">
        <v>295</v>
      </c>
      <c r="F25" s="159" t="e">
        <f>AVERAGE(F23,F24)</f>
        <v>#N/A</v>
      </c>
      <c r="G25" s="47" t="e">
        <f>(-1*616.868)+(1111.14*F25)-(630.272*F25^2)+(135.997*F25^3)</f>
        <v>#N/A</v>
      </c>
      <c r="H25" s="191" t="s">
        <v>53</v>
      </c>
      <c r="I25" s="31" t="s">
        <v>69</v>
      </c>
      <c r="J25" s="139" t="s">
        <v>70</v>
      </c>
      <c r="K25" s="31" t="s">
        <v>71</v>
      </c>
      <c r="L25" s="149" t="s">
        <v>70</v>
      </c>
      <c r="M25" s="17"/>
      <c r="N25" s="17"/>
      <c r="O25" s="17"/>
      <c r="P25" s="18"/>
      <c r="Q25" s="11" t="s">
        <v>72</v>
      </c>
      <c r="R25" s="17" t="s">
        <v>297</v>
      </c>
      <c r="S25" s="16" t="s">
        <v>73</v>
      </c>
      <c r="T25" s="18"/>
    </row>
    <row r="26" spans="1:20" x14ac:dyDescent="0.2">
      <c r="A26" s="32">
        <v>7</v>
      </c>
      <c r="B26" s="139"/>
      <c r="C26" s="139"/>
      <c r="D26" s="31"/>
      <c r="E26" s="48" t="s">
        <v>74</v>
      </c>
      <c r="F26" s="159" t="e">
        <f>F24-((F24-1)*L26)</f>
        <v>#N/A</v>
      </c>
      <c r="G26" s="47" t="e">
        <f>(-1*616.868)+(1111.14*F26)-(630.272*F26^2)+(135.997*F26^3)</f>
        <v>#N/A</v>
      </c>
      <c r="H26" s="191" t="s">
        <v>53</v>
      </c>
      <c r="I26" s="31" t="s">
        <v>76</v>
      </c>
      <c r="J26" s="139" t="s">
        <v>77</v>
      </c>
      <c r="K26" s="31" t="s">
        <v>78</v>
      </c>
      <c r="L26" s="150">
        <v>0.78</v>
      </c>
      <c r="M26" s="17"/>
      <c r="N26" s="17"/>
      <c r="O26" s="17"/>
      <c r="P26" s="18"/>
      <c r="Q26" s="16">
        <v>1</v>
      </c>
      <c r="R26" s="86">
        <f>Q23/1.04</f>
        <v>14.807692307692308</v>
      </c>
      <c r="S26" s="86">
        <f>IF(ISBLANK(T23),"",(76.08*(S23-T23)/(1.775-S23)*(T23/0.794)))</f>
        <v>6.2059194076251565</v>
      </c>
      <c r="T26" s="18"/>
    </row>
    <row r="27" spans="1:20" ht="15" thickBot="1" x14ac:dyDescent="0.25">
      <c r="A27" s="32">
        <v>8</v>
      </c>
      <c r="B27" s="139"/>
      <c r="C27" s="139"/>
      <c r="D27" s="31"/>
      <c r="E27" s="183" t="s">
        <v>9</v>
      </c>
      <c r="F27" s="192" t="e">
        <f>(F24-F26)*131.25</f>
        <v>#N/A</v>
      </c>
      <c r="G27" s="192" t="e">
        <f>(76.08*(F24-F26)/(1.775-F24)*(F26/0.794))</f>
        <v>#N/A</v>
      </c>
      <c r="H27" s="185"/>
      <c r="I27" s="31"/>
      <c r="J27" s="31"/>
      <c r="K27" s="17"/>
      <c r="L27" s="18"/>
      <c r="M27" s="17"/>
      <c r="N27" s="17"/>
      <c r="O27" s="17"/>
      <c r="P27" s="18"/>
      <c r="Q27" s="16"/>
      <c r="R27" s="17"/>
      <c r="S27" s="17"/>
      <c r="T27" s="18"/>
    </row>
    <row r="28" spans="1:20" ht="15" thickBot="1" x14ac:dyDescent="0.25">
      <c r="A28" s="229" t="s">
        <v>79</v>
      </c>
      <c r="B28" s="211"/>
      <c r="C28" s="211"/>
      <c r="D28" s="211"/>
      <c r="E28" s="211"/>
      <c r="F28" s="211"/>
      <c r="G28" s="211"/>
      <c r="H28" s="211"/>
      <c r="I28" s="197" t="s">
        <v>80</v>
      </c>
      <c r="J28" s="198"/>
      <c r="K28" s="198"/>
      <c r="L28" s="199"/>
      <c r="M28" s="198" t="s">
        <v>81</v>
      </c>
      <c r="N28" s="198"/>
      <c r="O28" s="198"/>
      <c r="P28" s="199"/>
      <c r="Q28" s="198" t="s">
        <v>82</v>
      </c>
      <c r="R28" s="198"/>
      <c r="S28" s="198"/>
      <c r="T28" s="199"/>
    </row>
    <row r="29" spans="1:20" x14ac:dyDescent="0.2">
      <c r="A29" s="65" t="s">
        <v>83</v>
      </c>
      <c r="B29" s="66" t="s">
        <v>84</v>
      </c>
      <c r="C29" s="66" t="s">
        <v>85</v>
      </c>
      <c r="D29" s="66" t="s">
        <v>86</v>
      </c>
      <c r="E29" s="66" t="s">
        <v>87</v>
      </c>
      <c r="F29" s="66" t="s">
        <v>88</v>
      </c>
      <c r="G29" s="66" t="s">
        <v>89</v>
      </c>
      <c r="H29" s="66" t="s">
        <v>90</v>
      </c>
      <c r="I29" s="16"/>
      <c r="J29" s="17"/>
      <c r="K29" s="17"/>
      <c r="L29" s="18"/>
    </row>
    <row r="30" spans="1:20" x14ac:dyDescent="0.2">
      <c r="A30" s="158"/>
      <c r="B30" s="154"/>
      <c r="C30" s="160"/>
      <c r="D30" s="33" t="str">
        <f>IF(ISBLANK(A30),"",VLOOKUP(A30,Admin!$H$1:$I$87,2,FALSE))</f>
        <v/>
      </c>
      <c r="E30" s="141"/>
      <c r="F30" s="35" t="str">
        <f t="shared" ref="F30:F37" si="11">IF(ISBLANK(A30),"",(1.65*(0.000125^(AVERAGE($F$23,$F$24)-1)))*((1-(2.718^(-0.04*E30)))/4.15))</f>
        <v/>
      </c>
      <c r="G30" s="33" t="str">
        <f>IF(ISBLANK(A30),"",D30*C30)</f>
        <v/>
      </c>
      <c r="H30" s="33" t="str">
        <f t="shared" ref="H30:H37" si="12">IF(ISBLANK(A30),"",IF(B30="Pellet",(G30*F30*(75/$H$4)),((0.8*G30*F30)*(75/$H$4))))</f>
        <v/>
      </c>
      <c r="I30" s="30" t="s">
        <v>92</v>
      </c>
      <c r="J30" s="200"/>
      <c r="K30" s="200"/>
      <c r="L30" s="201"/>
      <c r="M30" s="15" t="s">
        <v>92</v>
      </c>
      <c r="N30" s="200"/>
      <c r="O30" s="200"/>
      <c r="P30" s="201"/>
      <c r="Q30" s="15" t="s">
        <v>92</v>
      </c>
      <c r="R30" s="200"/>
      <c r="S30" s="200"/>
      <c r="T30" s="201"/>
    </row>
    <row r="31" spans="1:20" x14ac:dyDescent="0.2">
      <c r="A31" s="158"/>
      <c r="B31" s="154"/>
      <c r="C31" s="160"/>
      <c r="D31" s="33" t="str">
        <f>IF(ISBLANK(A31),"",VLOOKUP(A31,Admin!$H$1:$I$87,2,FALSE))</f>
        <v/>
      </c>
      <c r="E31" s="141"/>
      <c r="F31" s="35" t="str">
        <f t="shared" si="11"/>
        <v/>
      </c>
      <c r="G31" s="33" t="str">
        <f>IF(ISBLANK(A31),"",D31*C31)</f>
        <v/>
      </c>
      <c r="H31" s="33" t="str">
        <f t="shared" si="12"/>
        <v/>
      </c>
      <c r="I31" s="32"/>
      <c r="J31" s="51" t="s">
        <v>52</v>
      </c>
      <c r="K31" s="52" t="s">
        <v>53</v>
      </c>
      <c r="L31" s="53" t="s">
        <v>94</v>
      </c>
      <c r="M31" s="31"/>
      <c r="N31" s="51" t="s">
        <v>52</v>
      </c>
      <c r="O31" s="52" t="s">
        <v>53</v>
      </c>
      <c r="P31" s="53" t="s">
        <v>94</v>
      </c>
      <c r="Q31" s="31"/>
      <c r="R31" s="51" t="s">
        <v>52</v>
      </c>
      <c r="S31" s="52" t="s">
        <v>53</v>
      </c>
      <c r="T31" s="53" t="s">
        <v>94</v>
      </c>
    </row>
    <row r="32" spans="1:20" x14ac:dyDescent="0.2">
      <c r="A32" s="158"/>
      <c r="B32" s="154"/>
      <c r="C32" s="160"/>
      <c r="D32" s="33" t="str">
        <f>IF(ISBLANK(A32),"",VLOOKUP(A32,Admin!$H$1:$I$87,2,FALSE))</f>
        <v/>
      </c>
      <c r="E32" s="141"/>
      <c r="F32" s="35" t="str">
        <f t="shared" si="11"/>
        <v/>
      </c>
      <c r="G32" s="33" t="str">
        <f t="shared" ref="G32:G37" si="13">IF(ISBLANK(A32),"",D32*C32)</f>
        <v/>
      </c>
      <c r="H32" s="33" t="str">
        <f t="shared" si="12"/>
        <v/>
      </c>
      <c r="I32" s="48" t="s">
        <v>95</v>
      </c>
      <c r="J32" s="151"/>
      <c r="K32" s="82" t="str">
        <f>IF(ISBLANK(og),"",(-1*616.868)+(1111.14*J32)-(630.272*J32^2)+(135.997*J32^3))</f>
        <v/>
      </c>
      <c r="L32" s="152"/>
      <c r="M32" s="24" t="s">
        <v>95</v>
      </c>
      <c r="N32" s="151"/>
      <c r="O32" s="82" t="str">
        <f>IF(ISBLANK(N32),"",(-1*616.868)+(1111.14*N32)-(630.272*N32^2)+(135.997*N32^3))</f>
        <v/>
      </c>
      <c r="P32" s="152"/>
      <c r="Q32" s="24" t="s">
        <v>95</v>
      </c>
      <c r="R32" s="151"/>
      <c r="S32" s="82" t="str">
        <f>IF(ISBLANK(R32),"",(-1*616.868)+(1111.14*R32)-(630.272*R32^2)+(135.997*R32^3))</f>
        <v/>
      </c>
      <c r="T32" s="152"/>
    </row>
    <row r="33" spans="1:20" x14ac:dyDescent="0.2">
      <c r="A33" s="158"/>
      <c r="B33" s="154"/>
      <c r="C33" s="160"/>
      <c r="D33" s="33" t="str">
        <f>IF(ISBLANK(A33),"",VLOOKUP(A33,Admin!$H$1:$I$87,2,FALSE))</f>
        <v/>
      </c>
      <c r="E33" s="141"/>
      <c r="F33" s="35" t="str">
        <f t="shared" si="11"/>
        <v/>
      </c>
      <c r="G33" s="33" t="str">
        <f t="shared" si="13"/>
        <v/>
      </c>
      <c r="H33" s="33" t="str">
        <f t="shared" si="12"/>
        <v/>
      </c>
      <c r="I33" s="48"/>
      <c r="J33" s="151"/>
      <c r="K33" s="82"/>
      <c r="L33" s="152"/>
      <c r="M33" s="24"/>
      <c r="N33" s="151"/>
      <c r="O33" s="82"/>
      <c r="P33" s="152"/>
      <c r="Q33" s="24"/>
      <c r="R33" s="151"/>
      <c r="S33" s="82"/>
      <c r="T33" s="152"/>
    </row>
    <row r="34" spans="1:20" x14ac:dyDescent="0.2">
      <c r="A34" s="158"/>
      <c r="B34" s="154"/>
      <c r="C34" s="160"/>
      <c r="D34" s="33" t="str">
        <f>IF(ISBLANK(A34),"",VLOOKUP(A34,Admin!$H$1:$I$87,2,FALSE))</f>
        <v/>
      </c>
      <c r="E34" s="141"/>
      <c r="F34" s="35" t="str">
        <f t="shared" si="11"/>
        <v/>
      </c>
      <c r="G34" s="33" t="str">
        <f t="shared" si="13"/>
        <v/>
      </c>
      <c r="H34" s="33" t="str">
        <f t="shared" si="12"/>
        <v/>
      </c>
      <c r="I34" s="48" t="s">
        <v>96</v>
      </c>
      <c r="J34" s="151"/>
      <c r="K34" s="82" t="str">
        <f>IF(ISBLANK(og),"",(-1*616.868)+(1111.14*J34)-(630.272*J34^2)+(135.997*J34^3))</f>
        <v/>
      </c>
      <c r="L34" s="152"/>
      <c r="M34" s="24" t="s">
        <v>96</v>
      </c>
      <c r="N34" s="151"/>
      <c r="O34" s="82" t="str">
        <f>IF(ISBLANK(N34),"",(-1*616.868)+(1111.14*N34)-(630.272*N34^2)+(135.997*N34^3))</f>
        <v/>
      </c>
      <c r="P34" s="152"/>
      <c r="Q34" s="24" t="s">
        <v>96</v>
      </c>
      <c r="R34" s="151"/>
      <c r="S34" s="82" t="str">
        <f>IF(ISBLANK(R34),"",(-1*616.868)+(1111.14*R34)-(630.272*R34^2)+(135.997*R34^3))</f>
        <v/>
      </c>
      <c r="T34" s="152"/>
    </row>
    <row r="35" spans="1:20" x14ac:dyDescent="0.2">
      <c r="A35" s="158"/>
      <c r="B35" s="154"/>
      <c r="C35" s="160"/>
      <c r="D35" s="33" t="str">
        <f>IF(ISBLANK(A35),"",VLOOKUP(A35,Admin!$H$1:$I$87,2,FALSE))</f>
        <v/>
      </c>
      <c r="E35" s="141"/>
      <c r="F35" s="35" t="str">
        <f t="shared" si="11"/>
        <v/>
      </c>
      <c r="G35" s="33" t="str">
        <f t="shared" si="13"/>
        <v/>
      </c>
      <c r="H35" s="33" t="str">
        <f t="shared" si="12"/>
        <v/>
      </c>
      <c r="I35" s="48" t="s">
        <v>73</v>
      </c>
      <c r="J35" s="82" t="str">
        <f>IF(ISBLANK(fg),"",(J32-J34)*131.25)</f>
        <v/>
      </c>
      <c r="K35" s="82" t="str">
        <f>IF(ISBLANK(fg),"",(76.08*(J32-J34)/(1.775-J32)*(J34/0.794)))</f>
        <v/>
      </c>
      <c r="L35" s="166">
        <f>DAYS360(ogdate,fgdate)</f>
        <v>0</v>
      </c>
      <c r="M35" s="24" t="s">
        <v>73</v>
      </c>
      <c r="N35" s="54" t="str">
        <f>IF(ISBLANK(N34),"",(N32-N34)*131.25)</f>
        <v/>
      </c>
      <c r="O35" s="54" t="str">
        <f>IF(ISBLANK(N34),"",(76.08*(N32-N34)/(1.775-N32)*(N34/0.794)))</f>
        <v/>
      </c>
      <c r="P35" s="55">
        <f>DAYS360(ogdate2,fgdate2)</f>
        <v>0</v>
      </c>
      <c r="Q35" s="24" t="s">
        <v>73</v>
      </c>
      <c r="R35" s="54" t="str">
        <f>IF(ISBLANK(R34),"",(R32-R34)*131.25)</f>
        <v/>
      </c>
      <c r="S35" s="54" t="str">
        <f>IF(ISBLANK(R34),"",(76.08*(R32-R34)/(1.775-R32)*(R34/0.794)))</f>
        <v/>
      </c>
      <c r="T35" s="55">
        <f>DAYS360(ogdate3,fgdate3)</f>
        <v>0</v>
      </c>
    </row>
    <row r="36" spans="1:20" x14ac:dyDescent="0.2">
      <c r="A36" s="158"/>
      <c r="B36" s="154"/>
      <c r="C36" s="160"/>
      <c r="D36" s="33" t="str">
        <f>IF(ISBLANK(A36),"",VLOOKUP(A36,Admin!$H$1:$I$87,2,FALSE))</f>
        <v/>
      </c>
      <c r="E36" s="141"/>
      <c r="F36" s="35" t="str">
        <f t="shared" si="11"/>
        <v/>
      </c>
      <c r="G36" s="33" t="str">
        <f t="shared" si="13"/>
        <v/>
      </c>
      <c r="H36" s="33" t="str">
        <f t="shared" si="12"/>
        <v/>
      </c>
      <c r="I36" s="48" t="s">
        <v>97</v>
      </c>
      <c r="J36" s="56">
        <f>((J32-J34))/(J32-1)</f>
        <v>0</v>
      </c>
      <c r="K36" s="15" t="s">
        <v>55</v>
      </c>
      <c r="L36" s="150"/>
      <c r="M36" s="24" t="s">
        <v>97</v>
      </c>
      <c r="N36" s="56">
        <f>((N32-N34))/(N32-1)</f>
        <v>0</v>
      </c>
      <c r="O36" s="15" t="s">
        <v>55</v>
      </c>
      <c r="P36" s="153"/>
      <c r="Q36" s="24" t="s">
        <v>97</v>
      </c>
      <c r="R36" s="56">
        <f>((R32-R34))/(R32-1)</f>
        <v>0</v>
      </c>
      <c r="S36" s="15" t="s">
        <v>55</v>
      </c>
      <c r="T36" s="153"/>
    </row>
    <row r="37" spans="1:20" x14ac:dyDescent="0.2">
      <c r="A37" s="158"/>
      <c r="B37" s="154"/>
      <c r="C37" s="160"/>
      <c r="D37" s="33" t="str">
        <f>IF(ISBLANK(A37),"",VLOOKUP(A37,Admin!$H$1:$I$87,2,FALSE))</f>
        <v/>
      </c>
      <c r="E37" s="141"/>
      <c r="F37" s="35" t="str">
        <f t="shared" si="11"/>
        <v/>
      </c>
      <c r="G37" s="33" t="str">
        <f t="shared" si="13"/>
        <v/>
      </c>
      <c r="H37" s="33" t="str">
        <f t="shared" si="12"/>
        <v/>
      </c>
      <c r="I37" s="167" t="s">
        <v>98</v>
      </c>
      <c r="J37" s="202" t="s">
        <v>292</v>
      </c>
      <c r="K37" s="203"/>
      <c r="L37" s="204"/>
      <c r="M37" s="163" t="s">
        <v>98</v>
      </c>
      <c r="N37" s="202"/>
      <c r="O37" s="203"/>
      <c r="P37" s="204"/>
      <c r="Q37" s="57" t="s">
        <v>98</v>
      </c>
      <c r="R37" s="202"/>
      <c r="S37" s="203"/>
      <c r="T37" s="204"/>
    </row>
    <row r="38" spans="1:20" ht="15" thickBot="1" x14ac:dyDescent="0.25">
      <c r="A38" s="50"/>
      <c r="B38" s="43" t="s">
        <v>46</v>
      </c>
      <c r="C38" s="43">
        <f>SUM(C30:C37)</f>
        <v>0</v>
      </c>
      <c r="D38" s="43"/>
      <c r="E38" s="43"/>
      <c r="F38" s="43"/>
      <c r="G38" s="43">
        <f>SUM(G30:G37)</f>
        <v>0</v>
      </c>
      <c r="H38" s="188">
        <f>SUM(H30:H37)</f>
        <v>0</v>
      </c>
      <c r="I38" s="168"/>
      <c r="J38" s="208"/>
      <c r="K38" s="209"/>
      <c r="L38" s="210"/>
      <c r="M38" s="164"/>
      <c r="N38" s="205"/>
      <c r="O38" s="206"/>
      <c r="P38" s="207"/>
      <c r="Q38" s="58"/>
      <c r="R38" s="205"/>
      <c r="S38" s="206"/>
      <c r="T38" s="207"/>
    </row>
    <row r="42" spans="1:20" x14ac:dyDescent="0.2">
      <c r="G42" s="11" t="s">
        <v>75</v>
      </c>
    </row>
    <row r="43" spans="1:20" x14ac:dyDescent="0.2">
      <c r="C43" s="59"/>
      <c r="D43" s="60"/>
    </row>
    <row r="44" spans="1:20" x14ac:dyDescent="0.2">
      <c r="C44" s="59"/>
      <c r="D44" s="59"/>
    </row>
    <row r="45" spans="1:20" x14ac:dyDescent="0.2">
      <c r="C45" s="59"/>
      <c r="D45" s="59"/>
    </row>
    <row r="46" spans="1:20" x14ac:dyDescent="0.2">
      <c r="C46" s="59"/>
      <c r="D46" s="59"/>
    </row>
    <row r="47" spans="1:20" x14ac:dyDescent="0.2">
      <c r="C47" s="61"/>
      <c r="D47" s="59"/>
    </row>
    <row r="48" spans="1:20" x14ac:dyDescent="0.2">
      <c r="D48" s="59"/>
    </row>
    <row r="49" spans="3:4" x14ac:dyDescent="0.2">
      <c r="C49" s="59"/>
      <c r="D49" s="59"/>
    </row>
    <row r="50" spans="3:4" x14ac:dyDescent="0.2">
      <c r="D50" s="62"/>
    </row>
    <row r="52" spans="3:4" x14ac:dyDescent="0.2">
      <c r="D52" s="62"/>
    </row>
    <row r="53" spans="3:4" x14ac:dyDescent="0.2">
      <c r="D53" s="62"/>
    </row>
    <row r="54" spans="3:4" x14ac:dyDescent="0.2">
      <c r="D54" s="62"/>
    </row>
  </sheetData>
  <mergeCells count="23">
    <mergeCell ref="J37:L38"/>
    <mergeCell ref="J30:L30"/>
    <mergeCell ref="I24:L24"/>
    <mergeCell ref="A1:D1"/>
    <mergeCell ref="E1:L1"/>
    <mergeCell ref="F2:H2"/>
    <mergeCell ref="J2:L2"/>
    <mergeCell ref="J3:L3"/>
    <mergeCell ref="A11:D11"/>
    <mergeCell ref="A17:D18"/>
    <mergeCell ref="J21:K21"/>
    <mergeCell ref="J22:K22"/>
    <mergeCell ref="I28:L28"/>
    <mergeCell ref="A28:H28"/>
    <mergeCell ref="E7:L7"/>
    <mergeCell ref="Q21:T21"/>
    <mergeCell ref="Q28:T28"/>
    <mergeCell ref="R30:T30"/>
    <mergeCell ref="R37:T38"/>
    <mergeCell ref="M28:P28"/>
    <mergeCell ref="N30:P30"/>
    <mergeCell ref="N37:P38"/>
    <mergeCell ref="M21:P21"/>
  </mergeCells>
  <dataValidations count="6">
    <dataValidation type="decimal" allowBlank="1" showInputMessage="1" showErrorMessage="1" sqref="D13" xr:uid="{00000000-0002-0000-0000-000000000000}">
      <formula1>1</formula1>
      <formula2>2</formula2>
    </dataValidation>
    <dataValidation type="list" allowBlank="1" showInputMessage="1" showErrorMessage="1" sqref="J9:J19" xr:uid="{00000000-0002-0000-0000-000001000000}">
      <formula1>Use</formula1>
    </dataValidation>
    <dataValidation type="list" allowBlank="1" showInputMessage="1" showErrorMessage="1" sqref="E9:E19" xr:uid="{00000000-0002-0000-0000-000002000000}">
      <formula1>grain</formula1>
    </dataValidation>
    <dataValidation type="list" allowBlank="1" showInputMessage="1" showErrorMessage="1" sqref="B12" xr:uid="{00000000-0002-0000-0000-000003000000}">
      <formula1>mash</formula1>
    </dataValidation>
    <dataValidation type="list" allowBlank="1" showInputMessage="1" showErrorMessage="1" sqref="B30:B37" xr:uid="{00000000-0002-0000-0000-000004000000}">
      <formula1>"Whole, Pellet"</formula1>
    </dataValidation>
    <dataValidation type="list" allowBlank="1" showInputMessage="1" showErrorMessage="1" sqref="A30:A37" xr:uid="{00000000-0002-0000-0000-000005000000}">
      <formula1>hops2</formula1>
    </dataValidation>
  </dataValidations>
  <pageMargins left="0.25" right="0.25" top="0.75" bottom="0.75" header="0.3" footer="0.3"/>
  <pageSetup paperSize="3" scale="64" orientation="landscape" horizont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6"/>
  <sheetViews>
    <sheetView zoomScale="86" zoomScaleNormal="86" workbookViewId="0">
      <selection activeCell="A22" sqref="A22"/>
    </sheetView>
  </sheetViews>
  <sheetFormatPr defaultColWidth="9.21875" defaultRowHeight="15.75" x14ac:dyDescent="0.3"/>
  <cols>
    <col min="1" max="1" width="19.109375" style="1" bestFit="1" customWidth="1"/>
    <col min="2" max="2" width="14.44140625" style="1" bestFit="1" customWidth="1"/>
    <col min="3" max="3" width="21.33203125" style="1" bestFit="1" customWidth="1"/>
    <col min="4" max="4" width="11" style="1" bestFit="1" customWidth="1"/>
    <col min="5" max="5" width="13.21875" style="1" bestFit="1" customWidth="1"/>
    <col min="6" max="6" width="14.88671875" style="1" bestFit="1" customWidth="1"/>
    <col min="7" max="7" width="14.109375" style="1" bestFit="1" customWidth="1"/>
    <col min="8" max="16384" width="9.21875" style="1"/>
  </cols>
  <sheetData>
    <row r="1" spans="1:7" ht="23.25" customHeight="1" x14ac:dyDescent="0.3">
      <c r="A1" s="233" t="s">
        <v>291</v>
      </c>
      <c r="B1" s="234"/>
      <c r="C1" s="234"/>
      <c r="D1" s="234"/>
      <c r="E1" s="234"/>
      <c r="F1" s="234"/>
      <c r="G1" s="235"/>
    </row>
    <row r="2" spans="1:7" ht="23.25" x14ac:dyDescent="0.3">
      <c r="A2" s="137" t="s">
        <v>99</v>
      </c>
      <c r="B2" s="243">
        <f>beername</f>
        <v>0</v>
      </c>
      <c r="C2" s="244"/>
      <c r="D2" s="245"/>
      <c r="E2" s="138" t="s">
        <v>100</v>
      </c>
      <c r="F2" s="4">
        <f>brewdate</f>
        <v>0</v>
      </c>
      <c r="G2" s="10">
        <f>yearbatch</f>
        <v>0</v>
      </c>
    </row>
    <row r="3" spans="1:7" ht="19.5" x14ac:dyDescent="0.3">
      <c r="A3" s="137" t="s">
        <v>101</v>
      </c>
      <c r="B3" s="246">
        <f>beerstyle</f>
        <v>0</v>
      </c>
      <c r="C3" s="246"/>
      <c r="D3" s="246"/>
      <c r="E3" s="138" t="s">
        <v>102</v>
      </c>
      <c r="F3" s="258">
        <f>brewers</f>
        <v>0</v>
      </c>
      <c r="G3" s="259"/>
    </row>
    <row r="4" spans="1:7" ht="19.5" x14ac:dyDescent="0.3">
      <c r="A4" s="137" t="s">
        <v>103</v>
      </c>
      <c r="B4" s="254">
        <f>batchsize</f>
        <v>0</v>
      </c>
      <c r="C4" s="254"/>
      <c r="D4" s="6">
        <f>boillength</f>
        <v>90</v>
      </c>
      <c r="E4" s="138" t="s">
        <v>8</v>
      </c>
      <c r="F4" s="5" t="e">
        <f>targetog</f>
        <v>#N/A</v>
      </c>
      <c r="G4" s="8" t="e">
        <f>targetp</f>
        <v>#N/A</v>
      </c>
    </row>
    <row r="5" spans="1:7" ht="19.5" x14ac:dyDescent="0.3">
      <c r="A5" s="137" t="s">
        <v>104</v>
      </c>
      <c r="B5" s="255" t="e">
        <f>assumedEFF</f>
        <v>#N/A</v>
      </c>
      <c r="C5" s="255"/>
      <c r="D5" s="7"/>
      <c r="E5" s="138" t="s">
        <v>105</v>
      </c>
      <c r="F5" s="247" t="e">
        <f>targetabv</f>
        <v>#N/A</v>
      </c>
      <c r="G5" s="248"/>
    </row>
    <row r="6" spans="1:7" ht="19.5" x14ac:dyDescent="0.3">
      <c r="A6" s="137" t="s">
        <v>47</v>
      </c>
      <c r="B6" s="9" t="e">
        <f>EstSrm</f>
        <v>#DIV/0!</v>
      </c>
      <c r="C6" s="256" t="e">
        <f>EstSrmColor</f>
        <v>#DIV/0!</v>
      </c>
      <c r="D6" s="257"/>
      <c r="E6" s="138" t="s">
        <v>14</v>
      </c>
      <c r="F6" s="249">
        <f>totalibu</f>
        <v>0</v>
      </c>
      <c r="G6" s="250"/>
    </row>
    <row r="7" spans="1:7" ht="19.5" thickBot="1" x14ac:dyDescent="0.35">
      <c r="A7" s="251" t="s">
        <v>106</v>
      </c>
      <c r="B7" s="252"/>
      <c r="C7" s="252"/>
      <c r="D7" s="252"/>
      <c r="E7" s="252"/>
      <c r="F7" s="252"/>
      <c r="G7" s="253"/>
    </row>
    <row r="8" spans="1:7" ht="18.75" x14ac:dyDescent="0.3">
      <c r="A8" s="90" t="str">
        <f>IF(ISBLANK(maltper),"",maltper)</f>
        <v>Gravity %</v>
      </c>
      <c r="B8" s="91" t="str">
        <f>IF(ISBLANK(maltquantity),"",maltquantity)</f>
        <v>Quantity (lbs)</v>
      </c>
      <c r="C8" s="92" t="str">
        <f t="shared" ref="C8:C16" si="0">IF(ISBLANK(Maltnames),"",Maltnames)</f>
        <v>Ingredient</v>
      </c>
      <c r="D8" s="92"/>
      <c r="E8" s="93"/>
      <c r="F8" s="94" t="s">
        <v>107</v>
      </c>
      <c r="G8" s="95" t="e">
        <f>striketemp</f>
        <v>#DIV/0!</v>
      </c>
    </row>
    <row r="9" spans="1:7" ht="18.75" x14ac:dyDescent="0.3">
      <c r="A9" s="90" t="str">
        <f t="shared" ref="A9:A16" si="1">IF(ISBLANK(maltper),"",maltper)</f>
        <v/>
      </c>
      <c r="B9" s="91" t="str">
        <f t="shared" ref="B9:B16" si="2">IF(ISBLANK(maltquantity),"",maltquantity)</f>
        <v/>
      </c>
      <c r="C9" s="92" t="str">
        <f t="shared" si="0"/>
        <v/>
      </c>
      <c r="D9" s="92"/>
      <c r="E9" s="93"/>
      <c r="F9" s="96" t="s">
        <v>108</v>
      </c>
      <c r="G9" s="97">
        <f>strikevolume</f>
        <v>0</v>
      </c>
    </row>
    <row r="10" spans="1:7" ht="18.75" x14ac:dyDescent="0.3">
      <c r="A10" s="90" t="str">
        <f t="shared" si="1"/>
        <v/>
      </c>
      <c r="B10" s="91" t="str">
        <f t="shared" si="2"/>
        <v/>
      </c>
      <c r="C10" s="92" t="str">
        <f t="shared" si="0"/>
        <v/>
      </c>
      <c r="D10" s="92"/>
      <c r="E10" s="93"/>
      <c r="F10" s="96" t="s">
        <v>109</v>
      </c>
      <c r="G10" s="98">
        <f>mashthick</f>
        <v>0</v>
      </c>
    </row>
    <row r="11" spans="1:7" ht="18.75" x14ac:dyDescent="0.3">
      <c r="A11" s="90" t="str">
        <f t="shared" si="1"/>
        <v/>
      </c>
      <c r="B11" s="91" t="str">
        <f t="shared" si="2"/>
        <v/>
      </c>
      <c r="C11" s="92" t="str">
        <f t="shared" si="0"/>
        <v/>
      </c>
      <c r="D11" s="92"/>
      <c r="E11" s="99"/>
      <c r="F11" s="96" t="s">
        <v>110</v>
      </c>
      <c r="G11" s="100">
        <f>mashtype</f>
        <v>0</v>
      </c>
    </row>
    <row r="12" spans="1:7" ht="15.75" customHeight="1" x14ac:dyDescent="0.3">
      <c r="A12" s="90" t="str">
        <f t="shared" si="1"/>
        <v/>
      </c>
      <c r="B12" s="91" t="str">
        <f t="shared" si="2"/>
        <v/>
      </c>
      <c r="C12" s="92" t="str">
        <f t="shared" si="0"/>
        <v/>
      </c>
      <c r="D12" s="92"/>
      <c r="E12" s="135"/>
      <c r="F12" s="96" t="s">
        <v>111</v>
      </c>
      <c r="G12" s="100">
        <f>mashpH</f>
        <v>0</v>
      </c>
    </row>
    <row r="13" spans="1:7" ht="18.75" x14ac:dyDescent="0.3">
      <c r="A13" s="90" t="str">
        <f t="shared" si="1"/>
        <v/>
      </c>
      <c r="B13" s="91" t="str">
        <f t="shared" si="2"/>
        <v/>
      </c>
      <c r="C13" s="92" t="str">
        <f t="shared" si="0"/>
        <v/>
      </c>
      <c r="D13" s="92"/>
      <c r="E13" s="135"/>
      <c r="F13" s="96" t="s">
        <v>112</v>
      </c>
      <c r="G13" s="100"/>
    </row>
    <row r="14" spans="1:7" ht="18.75" x14ac:dyDescent="0.3">
      <c r="A14" s="90" t="str">
        <f t="shared" si="1"/>
        <v/>
      </c>
      <c r="B14" s="91" t="str">
        <f t="shared" si="2"/>
        <v/>
      </c>
      <c r="C14" s="92" t="str">
        <f t="shared" si="0"/>
        <v/>
      </c>
      <c r="D14" s="92"/>
      <c r="E14" s="136"/>
      <c r="F14" s="101">
        <f>mashtemp1</f>
        <v>155</v>
      </c>
      <c r="G14" s="102">
        <f>mashtime1</f>
        <v>60</v>
      </c>
    </row>
    <row r="15" spans="1:7" ht="16.5" customHeight="1" x14ac:dyDescent="0.3">
      <c r="A15" s="90" t="str">
        <f t="shared" si="1"/>
        <v/>
      </c>
      <c r="B15" s="91" t="str">
        <f t="shared" si="2"/>
        <v/>
      </c>
      <c r="C15" s="92" t="str">
        <f t="shared" si="0"/>
        <v/>
      </c>
      <c r="D15" s="92"/>
      <c r="E15" s="136"/>
      <c r="F15" s="101">
        <f>mashtemp</f>
        <v>165</v>
      </c>
      <c r="G15" s="102">
        <f>mashtime</f>
        <v>15</v>
      </c>
    </row>
    <row r="16" spans="1:7" ht="18.75" x14ac:dyDescent="0.3">
      <c r="A16" s="90" t="str">
        <f t="shared" si="1"/>
        <v/>
      </c>
      <c r="B16" s="91" t="str">
        <f t="shared" si="2"/>
        <v/>
      </c>
      <c r="C16" s="92" t="str">
        <f t="shared" si="0"/>
        <v/>
      </c>
      <c r="D16" s="92"/>
      <c r="E16" s="93"/>
      <c r="F16" s="101">
        <f>mashtemp3</f>
        <v>0</v>
      </c>
      <c r="G16" s="102">
        <f>mashtime3</f>
        <v>0</v>
      </c>
    </row>
    <row r="17" spans="1:9" ht="18.75" x14ac:dyDescent="0.3">
      <c r="A17" s="103" t="s">
        <v>113</v>
      </c>
      <c r="B17" s="104">
        <f>SUM(B8:B16)</f>
        <v>0</v>
      </c>
      <c r="C17" s="105"/>
      <c r="D17" s="262" t="str">
        <f>watertreat</f>
        <v>Water:</v>
      </c>
      <c r="E17" s="263"/>
      <c r="F17" s="263"/>
      <c r="G17" s="264"/>
    </row>
    <row r="18" spans="1:9" ht="18.75" x14ac:dyDescent="0.3">
      <c r="A18" s="239" t="s">
        <v>114</v>
      </c>
      <c r="B18" s="240"/>
      <c r="C18" s="240"/>
      <c r="D18" s="240"/>
      <c r="E18" s="240"/>
      <c r="F18" s="241"/>
      <c r="G18" s="242"/>
    </row>
    <row r="19" spans="1:9" ht="18.75" x14ac:dyDescent="0.3">
      <c r="A19" s="106" t="str">
        <f>IF(ISBLANK(CalcWorksheet!C30),"",CalcWorksheet!C30)</f>
        <v/>
      </c>
      <c r="B19" s="90" t="str">
        <f>IF(ISBLANK(CalcWorksheet!A30),"",CalcWorksheet!A30)</f>
        <v/>
      </c>
      <c r="C19" s="90" t="str">
        <f>IF(ISBLANK(CalcWorksheet!B30),"",CalcWorksheet!B30)</f>
        <v/>
      </c>
      <c r="D19" s="107" t="str">
        <f>CalcWorksheet!D30</f>
        <v/>
      </c>
      <c r="E19" s="108" t="str">
        <f>IF(ISBLANK(CalcWorksheet!E30),"", CalcWorksheet!E30)</f>
        <v/>
      </c>
      <c r="F19" s="109" t="str">
        <f>CalcWorksheet!H30</f>
        <v/>
      </c>
      <c r="G19" s="110"/>
      <c r="I19" s="2"/>
    </row>
    <row r="20" spans="1:9" ht="15.75" customHeight="1" x14ac:dyDescent="0.3">
      <c r="A20" s="106" t="str">
        <f>IF(ISBLANK(CalcWorksheet!C31),"",CalcWorksheet!C31)</f>
        <v/>
      </c>
      <c r="B20" s="90" t="str">
        <f>IF(ISBLANK(CalcWorksheet!A31),"",CalcWorksheet!A31)</f>
        <v/>
      </c>
      <c r="C20" s="90" t="str">
        <f>IF(ISBLANK(CalcWorksheet!B31),"",CalcWorksheet!B31)</f>
        <v/>
      </c>
      <c r="D20" s="107" t="str">
        <f>CalcWorksheet!D31</f>
        <v/>
      </c>
      <c r="E20" s="108" t="str">
        <f>IF(ISBLANK(CalcWorksheet!E31),"", CalcWorksheet!E31)</f>
        <v/>
      </c>
      <c r="F20" s="109" t="str">
        <f>CalcWorksheet!H31</f>
        <v/>
      </c>
      <c r="G20" s="111"/>
      <c r="I20" s="2"/>
    </row>
    <row r="21" spans="1:9" ht="15.75" customHeight="1" x14ac:dyDescent="0.3">
      <c r="A21" s="106" t="str">
        <f>IF(ISBLANK(CalcWorksheet!C32),"",CalcWorksheet!C32)</f>
        <v/>
      </c>
      <c r="B21" s="90" t="str">
        <f>IF(ISBLANK(CalcWorksheet!A32),"",CalcWorksheet!A32)</f>
        <v/>
      </c>
      <c r="C21" s="90" t="str">
        <f>IF(ISBLANK(CalcWorksheet!B32),"",CalcWorksheet!B32)</f>
        <v/>
      </c>
      <c r="D21" s="107" t="str">
        <f>CalcWorksheet!D32</f>
        <v/>
      </c>
      <c r="E21" s="108" t="str">
        <f>IF(ISBLANK(CalcWorksheet!E32),"", CalcWorksheet!E32)</f>
        <v/>
      </c>
      <c r="F21" s="109" t="str">
        <f>CalcWorksheet!H32</f>
        <v/>
      </c>
      <c r="G21" s="112"/>
      <c r="I21" s="2"/>
    </row>
    <row r="22" spans="1:9" ht="15.75" customHeight="1" x14ac:dyDescent="0.3">
      <c r="A22" s="106" t="str">
        <f>IF(ISBLANK(CalcWorksheet!C33),"",CalcWorksheet!C33)</f>
        <v/>
      </c>
      <c r="B22" s="90" t="str">
        <f>IF(ISBLANK(CalcWorksheet!A33),"",CalcWorksheet!A33)</f>
        <v/>
      </c>
      <c r="C22" s="90" t="str">
        <f>IF(ISBLANK(CalcWorksheet!B33),"",CalcWorksheet!B33)</f>
        <v/>
      </c>
      <c r="D22" s="107" t="str">
        <f>CalcWorksheet!D33</f>
        <v/>
      </c>
      <c r="E22" s="108" t="str">
        <f>IF(ISBLANK(CalcWorksheet!E33),"", CalcWorksheet!E33)</f>
        <v/>
      </c>
      <c r="F22" s="113" t="str">
        <f>CalcWorksheet!H33</f>
        <v/>
      </c>
      <c r="G22" s="114"/>
      <c r="I22" s="2"/>
    </row>
    <row r="23" spans="1:9" ht="15.75" customHeight="1" x14ac:dyDescent="0.3">
      <c r="A23" s="106" t="str">
        <f>IF(ISBLANK(CalcWorksheet!C34),"",CalcWorksheet!C34)</f>
        <v/>
      </c>
      <c r="B23" s="90" t="str">
        <f>IF(ISBLANK(CalcWorksheet!A34),"",CalcWorksheet!A34)</f>
        <v/>
      </c>
      <c r="C23" s="90" t="str">
        <f>IF(ISBLANK(CalcWorksheet!B34),"",CalcWorksheet!B34)</f>
        <v/>
      </c>
      <c r="D23" s="107" t="str">
        <f>CalcWorksheet!D34</f>
        <v/>
      </c>
      <c r="E23" s="108" t="str">
        <f>IF(ISBLANK(CalcWorksheet!E34),"", CalcWorksheet!E34)</f>
        <v/>
      </c>
      <c r="F23" s="113" t="str">
        <f>CalcWorksheet!H34</f>
        <v/>
      </c>
      <c r="G23" s="265" t="s">
        <v>293</v>
      </c>
      <c r="I23" s="2"/>
    </row>
    <row r="24" spans="1:9" ht="15.75" customHeight="1" x14ac:dyDescent="0.3">
      <c r="A24" s="106" t="str">
        <f>IF(ISBLANK(CalcWorksheet!C35),"",CalcWorksheet!C35)</f>
        <v/>
      </c>
      <c r="B24" s="90" t="str">
        <f>IF(ISBLANK(CalcWorksheet!A35),"",CalcWorksheet!A35)</f>
        <v/>
      </c>
      <c r="C24" s="90" t="str">
        <f>IF(ISBLANK(CalcWorksheet!B35),"",CalcWorksheet!B35)</f>
        <v/>
      </c>
      <c r="D24" s="107" t="str">
        <f>CalcWorksheet!D35</f>
        <v/>
      </c>
      <c r="E24" s="108" t="str">
        <f>IF(ISBLANK(CalcWorksheet!E35),"", CalcWorksheet!E35)</f>
        <v/>
      </c>
      <c r="F24" s="113" t="str">
        <f>CalcWorksheet!H35</f>
        <v/>
      </c>
      <c r="G24" s="266"/>
      <c r="I24" s="2"/>
    </row>
    <row r="25" spans="1:9" ht="15.75" customHeight="1" x14ac:dyDescent="0.3">
      <c r="A25" s="106" t="str">
        <f>IF(ISBLANK(CalcWorksheet!C36),"",CalcWorksheet!C36)</f>
        <v/>
      </c>
      <c r="B25" s="90" t="str">
        <f>IF(ISBLANK(CalcWorksheet!A36),"",CalcWorksheet!A36)</f>
        <v/>
      </c>
      <c r="C25" s="90" t="str">
        <f>IF(ISBLANK(CalcWorksheet!B36),"",CalcWorksheet!B36)</f>
        <v/>
      </c>
      <c r="D25" s="107" t="str">
        <f>CalcWorksheet!D36</f>
        <v/>
      </c>
      <c r="E25" s="108" t="str">
        <f>IF(ISBLANK(CalcWorksheet!E36),"", CalcWorksheet!E36)</f>
        <v/>
      </c>
      <c r="F25" s="109" t="str">
        <f>CalcWorksheet!H36</f>
        <v/>
      </c>
      <c r="G25" s="260"/>
      <c r="I25" s="2"/>
    </row>
    <row r="26" spans="1:9" ht="15.75" customHeight="1" x14ac:dyDescent="0.3">
      <c r="A26" s="106" t="str">
        <f>IF(ISBLANK(CalcWorksheet!C37),"",CalcWorksheet!C37)</f>
        <v/>
      </c>
      <c r="B26" s="90" t="str">
        <f>IF(ISBLANK(CalcWorksheet!A37),"",CalcWorksheet!A37)</f>
        <v/>
      </c>
      <c r="C26" s="90" t="str">
        <f>IF(ISBLANK(CalcWorksheet!B37),"",CalcWorksheet!B37)</f>
        <v/>
      </c>
      <c r="D26" s="107" t="str">
        <f>CalcWorksheet!D37</f>
        <v/>
      </c>
      <c r="E26" s="108" t="str">
        <f>IF(ISBLANK(CalcWorksheet!E37),"", CalcWorksheet!E37)</f>
        <v/>
      </c>
      <c r="F26" s="109" t="str">
        <f>CalcWorksheet!H37</f>
        <v/>
      </c>
      <c r="G26" s="261"/>
      <c r="I26" s="2"/>
    </row>
    <row r="27" spans="1:9" ht="15.75" customHeight="1" x14ac:dyDescent="0.3">
      <c r="A27" s="106">
        <f>IF(ISBLANK(CalcWorksheet!C38),"",CalcWorksheet!C38)</f>
        <v>0</v>
      </c>
      <c r="B27" s="90" t="str">
        <f>IF(ISBLANK(CalcWorksheet!A38),"",CalcWorksheet!A38)</f>
        <v/>
      </c>
      <c r="C27" s="90"/>
      <c r="D27" s="115"/>
      <c r="E27" s="108" t="s">
        <v>14</v>
      </c>
      <c r="F27" s="109">
        <f>CalcWorksheet!H38</f>
        <v>0</v>
      </c>
      <c r="G27" s="116"/>
      <c r="I27" s="2"/>
    </row>
    <row r="28" spans="1:9" ht="17.25" customHeight="1" x14ac:dyDescent="0.3">
      <c r="A28" s="236" t="s">
        <v>115</v>
      </c>
      <c r="B28" s="237"/>
      <c r="C28" s="237"/>
      <c r="D28" s="237"/>
      <c r="E28" s="237"/>
      <c r="F28" s="237"/>
      <c r="G28" s="238"/>
      <c r="H28" s="3"/>
      <c r="I28" s="2"/>
    </row>
    <row r="29" spans="1:9" ht="18.75" x14ac:dyDescent="0.3">
      <c r="A29" s="7" t="s">
        <v>116</v>
      </c>
      <c r="B29" s="7" t="str">
        <f>yeastnutrient</f>
        <v>Y</v>
      </c>
      <c r="C29" s="7" t="s">
        <v>117</v>
      </c>
      <c r="D29" s="7" t="str">
        <f>irishmoss</f>
        <v>Y</v>
      </c>
      <c r="E29" s="7" t="s">
        <v>118</v>
      </c>
      <c r="F29" s="7" t="str">
        <f>oxy</f>
        <v>N</v>
      </c>
      <c r="G29" s="100"/>
    </row>
    <row r="30" spans="1:9" ht="18.75" x14ac:dyDescent="0.3">
      <c r="A30" s="239" t="s">
        <v>119</v>
      </c>
      <c r="B30" s="240"/>
      <c r="C30" s="240"/>
      <c r="D30" s="240"/>
      <c r="E30" s="240"/>
      <c r="F30" s="240"/>
      <c r="G30" s="267"/>
    </row>
    <row r="31" spans="1:9" ht="18.75" customHeight="1" x14ac:dyDescent="0.3">
      <c r="A31" s="87" t="s">
        <v>120</v>
      </c>
      <c r="B31" s="88" t="s">
        <v>55</v>
      </c>
      <c r="C31" s="88" t="s">
        <v>121</v>
      </c>
      <c r="D31" s="88" t="s">
        <v>122</v>
      </c>
      <c r="E31" s="88" t="s">
        <v>123</v>
      </c>
      <c r="F31" s="117" t="s">
        <v>124</v>
      </c>
      <c r="G31" s="89" t="s">
        <v>73</v>
      </c>
    </row>
    <row r="32" spans="1:9" ht="30" customHeight="1" x14ac:dyDescent="0.3">
      <c r="A32" s="118">
        <f>yeasttype</f>
        <v>0</v>
      </c>
      <c r="B32" s="119">
        <f>yeastquantity</f>
        <v>0</v>
      </c>
      <c r="C32" s="120">
        <f>og</f>
        <v>0</v>
      </c>
      <c r="D32" s="120">
        <f>fg</f>
        <v>0</v>
      </c>
      <c r="E32" s="121">
        <f>fgdate</f>
        <v>0</v>
      </c>
      <c r="F32" s="122">
        <f>atten1</f>
        <v>0</v>
      </c>
      <c r="G32" s="123" t="str">
        <f>estabv</f>
        <v/>
      </c>
    </row>
    <row r="33" spans="1:7" ht="18.75" x14ac:dyDescent="0.3">
      <c r="A33" s="124">
        <f>yeasttype2</f>
        <v>0</v>
      </c>
      <c r="B33" s="125">
        <f>quan2</f>
        <v>0</v>
      </c>
      <c r="C33" s="120">
        <f>ograv2</f>
        <v>0</v>
      </c>
      <c r="D33" s="120">
        <f>fgav2</f>
        <v>0</v>
      </c>
      <c r="E33" s="121">
        <f>fgravdate2</f>
        <v>0</v>
      </c>
      <c r="F33" s="122">
        <f>atten2</f>
        <v>0</v>
      </c>
      <c r="G33" s="123" t="str">
        <f>estabv2</f>
        <v/>
      </c>
    </row>
    <row r="34" spans="1:7" ht="18.75" x14ac:dyDescent="0.3">
      <c r="A34" s="124">
        <f>yeasttype3</f>
        <v>0</v>
      </c>
      <c r="B34" s="125">
        <f>quan3</f>
        <v>0</v>
      </c>
      <c r="C34" s="120">
        <f>ograv3</f>
        <v>0</v>
      </c>
      <c r="D34" s="120">
        <f>fgrav3</f>
        <v>0</v>
      </c>
      <c r="E34" s="121">
        <f>fgravdate3</f>
        <v>0</v>
      </c>
      <c r="F34" s="122">
        <f>atten3</f>
        <v>0</v>
      </c>
      <c r="G34" s="123" t="str">
        <f>estabv3</f>
        <v/>
      </c>
    </row>
    <row r="35" spans="1:7" ht="18.75" x14ac:dyDescent="0.3">
      <c r="A35" s="282" t="s">
        <v>125</v>
      </c>
      <c r="B35" s="283"/>
      <c r="C35" s="283"/>
      <c r="D35" s="283"/>
      <c r="E35" s="283"/>
      <c r="F35" s="283"/>
      <c r="G35" s="284"/>
    </row>
    <row r="36" spans="1:7" ht="19.5" thickBot="1" x14ac:dyDescent="0.35">
      <c r="A36" s="126" t="s">
        <v>126</v>
      </c>
      <c r="B36" s="285" t="s">
        <v>127</v>
      </c>
      <c r="C36" s="285"/>
      <c r="D36" s="285"/>
      <c r="E36" s="285"/>
      <c r="F36" s="285"/>
      <c r="G36" s="286"/>
    </row>
    <row r="37" spans="1:7" s="128" customFormat="1" ht="60" customHeight="1" x14ac:dyDescent="0.3">
      <c r="A37" s="127"/>
      <c r="B37" s="271"/>
      <c r="C37" s="271"/>
      <c r="D37" s="271"/>
      <c r="E37" s="271"/>
      <c r="F37" s="271"/>
      <c r="G37" s="272"/>
    </row>
    <row r="38" spans="1:7" s="128" customFormat="1" ht="60" customHeight="1" x14ac:dyDescent="0.3">
      <c r="A38" s="129"/>
      <c r="B38" s="268"/>
      <c r="C38" s="269"/>
      <c r="D38" s="269"/>
      <c r="E38" s="269"/>
      <c r="F38" s="269"/>
      <c r="G38" s="270"/>
    </row>
    <row r="39" spans="1:7" s="128" customFormat="1" ht="60" customHeight="1" x14ac:dyDescent="0.3">
      <c r="A39" s="130"/>
      <c r="B39" s="279"/>
      <c r="C39" s="280"/>
      <c r="D39" s="280"/>
      <c r="E39" s="280"/>
      <c r="F39" s="280"/>
      <c r="G39" s="281"/>
    </row>
    <row r="40" spans="1:7" s="128" customFormat="1" ht="60" customHeight="1" x14ac:dyDescent="0.3">
      <c r="A40" s="131"/>
      <c r="B40" s="268"/>
      <c r="C40" s="269"/>
      <c r="D40" s="269"/>
      <c r="E40" s="269"/>
      <c r="F40" s="269"/>
      <c r="G40" s="270"/>
    </row>
    <row r="41" spans="1:7" s="128" customFormat="1" ht="60" customHeight="1" x14ac:dyDescent="0.3">
      <c r="A41" s="130"/>
      <c r="B41" s="132"/>
      <c r="C41" s="132"/>
      <c r="D41" s="132"/>
      <c r="E41" s="132"/>
      <c r="F41" s="132"/>
      <c r="G41" s="133"/>
    </row>
    <row r="42" spans="1:7" s="128" customFormat="1" ht="60" customHeight="1" thickBot="1" x14ac:dyDescent="0.35">
      <c r="A42" s="131"/>
      <c r="B42" s="276"/>
      <c r="C42" s="277"/>
      <c r="D42" s="277"/>
      <c r="E42" s="277"/>
      <c r="F42" s="277"/>
      <c r="G42" s="278"/>
    </row>
    <row r="43" spans="1:7" s="128" customFormat="1" ht="60" customHeight="1" thickBot="1" x14ac:dyDescent="0.35">
      <c r="A43" s="134" t="s">
        <v>128</v>
      </c>
      <c r="B43" s="273"/>
      <c r="C43" s="274"/>
      <c r="D43" s="274"/>
      <c r="E43" s="274"/>
      <c r="F43" s="274"/>
      <c r="G43" s="275"/>
    </row>
    <row r="44" spans="1:7" ht="20.100000000000001" customHeight="1" x14ac:dyDescent="0.3"/>
    <row r="45" spans="1:7" ht="20.100000000000001" customHeight="1" x14ac:dyDescent="0.3"/>
    <row r="46" spans="1:7" ht="20.100000000000001" customHeight="1" x14ac:dyDescent="0.3"/>
  </sheetData>
  <mergeCells count="24">
    <mergeCell ref="A30:G30"/>
    <mergeCell ref="B38:G38"/>
    <mergeCell ref="B37:G37"/>
    <mergeCell ref="B43:G43"/>
    <mergeCell ref="B42:G42"/>
    <mergeCell ref="B40:G40"/>
    <mergeCell ref="B39:G39"/>
    <mergeCell ref="A35:G35"/>
    <mergeCell ref="B36:G36"/>
    <mergeCell ref="A1:G1"/>
    <mergeCell ref="A28:G28"/>
    <mergeCell ref="A18:G18"/>
    <mergeCell ref="B2:D2"/>
    <mergeCell ref="B3:D3"/>
    <mergeCell ref="F5:G5"/>
    <mergeCell ref="F6:G6"/>
    <mergeCell ref="A7:G7"/>
    <mergeCell ref="B4:C4"/>
    <mergeCell ref="B5:C5"/>
    <mergeCell ref="C6:D6"/>
    <mergeCell ref="F3:G3"/>
    <mergeCell ref="G25:G26"/>
    <mergeCell ref="D17:G17"/>
    <mergeCell ref="G23:G24"/>
  </mergeCells>
  <conditionalFormatting sqref="B8:B16">
    <cfRule type="dataBar" priority="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{3BD89ABC-3AAB-4249-A34C-BE4B0CDFA965}</x14:id>
        </ext>
      </extLst>
    </cfRule>
  </conditionalFormatting>
  <pageMargins left="0.25" right="0.25" top="0.75" bottom="0.75" header="0.3" footer="0.3"/>
  <pageSetup scale="65" orientation="portrait" horizontalDpi="4294967294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BD89ABC-3AAB-4249-A34C-BE4B0CDFA96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B8:B16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87"/>
  <sheetViews>
    <sheetView topLeftCell="A31" workbookViewId="0">
      <selection activeCell="H6" sqref="H6"/>
    </sheetView>
  </sheetViews>
  <sheetFormatPr defaultColWidth="8.88671875" defaultRowHeight="14.25" x14ac:dyDescent="0.2"/>
  <cols>
    <col min="1" max="1" width="11.44140625" style="69" bestFit="1" customWidth="1"/>
    <col min="2" max="2" width="16.44140625" style="69" bestFit="1" customWidth="1"/>
    <col min="3" max="3" width="23.33203125" style="81" bestFit="1" customWidth="1"/>
    <col min="4" max="4" width="7.44140625" style="71" bestFit="1" customWidth="1"/>
    <col min="5" max="5" width="9.21875" style="80" bestFit="1" customWidth="1"/>
    <col min="6" max="6" width="11.33203125" style="69" bestFit="1" customWidth="1"/>
    <col min="7" max="7" width="16" style="69" bestFit="1" customWidth="1"/>
    <col min="8" max="8" width="18.21875" style="69" bestFit="1" customWidth="1"/>
    <col min="9" max="9" width="16.21875" style="69" bestFit="1" customWidth="1"/>
    <col min="10" max="10" width="8.88671875" style="69"/>
    <col min="11" max="11" width="14.44140625" style="69" bestFit="1" customWidth="1"/>
    <col min="12" max="12" width="48.109375" style="69" bestFit="1" customWidth="1"/>
    <col min="13" max="13" width="12" style="69" bestFit="1" customWidth="1"/>
    <col min="14" max="14" width="5.21875" style="69" bestFit="1" customWidth="1"/>
    <col min="15" max="15" width="5.33203125" style="69" bestFit="1" customWidth="1"/>
    <col min="16" max="16" width="5.21875" style="69" bestFit="1" customWidth="1"/>
    <col min="17" max="17" width="5.33203125" style="69" bestFit="1" customWidth="1"/>
    <col min="18" max="18" width="5.21875" style="69" bestFit="1" customWidth="1"/>
    <col min="19" max="21" width="5.33203125" style="69" bestFit="1" customWidth="1"/>
    <col min="22" max="16384" width="8.88671875" style="69"/>
  </cols>
  <sheetData>
    <row r="1" spans="1:21" ht="15" x14ac:dyDescent="0.2">
      <c r="A1" s="290" t="s">
        <v>216</v>
      </c>
      <c r="B1" s="291"/>
      <c r="C1" s="287" t="s">
        <v>217</v>
      </c>
      <c r="D1" s="288"/>
      <c r="E1" s="289"/>
      <c r="F1" s="67" t="s">
        <v>218</v>
      </c>
      <c r="G1" s="49"/>
      <c r="H1" s="68" t="s">
        <v>132</v>
      </c>
      <c r="I1" s="69" t="s">
        <v>133</v>
      </c>
    </row>
    <row r="2" spans="1:21" ht="22.5" customHeight="1" x14ac:dyDescent="0.2">
      <c r="A2" s="70" t="s">
        <v>110</v>
      </c>
      <c r="B2" s="70" t="s">
        <v>219</v>
      </c>
      <c r="C2" s="71" t="s">
        <v>84</v>
      </c>
      <c r="D2" s="71" t="s">
        <v>220</v>
      </c>
      <c r="E2" s="71" t="s">
        <v>21</v>
      </c>
      <c r="F2" s="49" t="s">
        <v>221</v>
      </c>
      <c r="G2" s="49" t="s">
        <v>220</v>
      </c>
      <c r="H2" s="68" t="s">
        <v>134</v>
      </c>
      <c r="I2" s="69">
        <v>0</v>
      </c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</row>
    <row r="3" spans="1:21" x14ac:dyDescent="0.2">
      <c r="A3" s="69" t="s">
        <v>222</v>
      </c>
      <c r="B3" s="73">
        <v>0.6</v>
      </c>
      <c r="C3" s="71" t="s">
        <v>223</v>
      </c>
      <c r="D3" s="71">
        <v>0</v>
      </c>
      <c r="E3" s="71">
        <v>1.046</v>
      </c>
      <c r="F3" s="74">
        <v>0</v>
      </c>
      <c r="G3" s="49" t="s">
        <v>224</v>
      </c>
      <c r="H3" s="69" t="s">
        <v>135</v>
      </c>
      <c r="I3" s="69">
        <v>14.5</v>
      </c>
      <c r="K3" s="72"/>
      <c r="L3" s="75"/>
      <c r="M3" s="75"/>
      <c r="N3" s="75"/>
      <c r="O3" s="75"/>
      <c r="P3" s="75"/>
      <c r="Q3" s="75"/>
      <c r="R3" s="75"/>
      <c r="S3" s="75"/>
      <c r="T3" s="75"/>
      <c r="U3" s="75"/>
    </row>
    <row r="4" spans="1:21" x14ac:dyDescent="0.2">
      <c r="A4" s="69" t="s">
        <v>31</v>
      </c>
      <c r="B4" s="73">
        <v>0.75</v>
      </c>
      <c r="C4" s="71" t="s">
        <v>134</v>
      </c>
      <c r="D4" s="71">
        <v>0</v>
      </c>
      <c r="E4" s="71">
        <v>0</v>
      </c>
      <c r="F4" s="49">
        <v>2</v>
      </c>
      <c r="G4" s="49" t="s">
        <v>225</v>
      </c>
      <c r="H4" s="69" t="s">
        <v>136</v>
      </c>
      <c r="I4" s="69">
        <v>3.4</v>
      </c>
      <c r="K4" s="72"/>
      <c r="L4" s="75"/>
      <c r="M4" s="75"/>
      <c r="N4" s="75"/>
      <c r="O4" s="75"/>
      <c r="P4" s="75"/>
      <c r="Q4" s="75"/>
      <c r="R4" s="75"/>
      <c r="S4" s="75"/>
      <c r="T4" s="75"/>
      <c r="U4" s="75"/>
    </row>
    <row r="5" spans="1:21" x14ac:dyDescent="0.2">
      <c r="A5" s="69" t="s">
        <v>226</v>
      </c>
      <c r="B5" s="73">
        <v>0.8</v>
      </c>
      <c r="C5" s="71" t="s">
        <v>227</v>
      </c>
      <c r="D5" s="71">
        <v>0</v>
      </c>
      <c r="E5" s="71">
        <v>1.046</v>
      </c>
      <c r="F5" s="49">
        <v>3</v>
      </c>
      <c r="G5" s="49" t="s">
        <v>228</v>
      </c>
      <c r="H5" s="69" t="s">
        <v>137</v>
      </c>
      <c r="I5" s="69">
        <v>8.6</v>
      </c>
      <c r="K5" s="72"/>
      <c r="L5" s="75"/>
      <c r="M5" s="75"/>
      <c r="N5" s="75"/>
      <c r="O5" s="75"/>
      <c r="P5" s="75"/>
      <c r="Q5" s="75"/>
      <c r="R5" s="75"/>
      <c r="S5" s="75"/>
      <c r="T5" s="75"/>
      <c r="U5" s="75"/>
    </row>
    <row r="6" spans="1:21" x14ac:dyDescent="0.2">
      <c r="A6" s="69" t="s">
        <v>229</v>
      </c>
      <c r="B6" s="73">
        <v>0.65</v>
      </c>
      <c r="C6" s="76" t="s">
        <v>230</v>
      </c>
      <c r="D6" s="71">
        <v>0</v>
      </c>
      <c r="E6" s="71">
        <v>1.046</v>
      </c>
      <c r="F6" s="49">
        <v>5</v>
      </c>
      <c r="G6" s="49" t="s">
        <v>231</v>
      </c>
      <c r="H6" s="69" t="s">
        <v>138</v>
      </c>
      <c r="I6" s="69">
        <v>7</v>
      </c>
      <c r="K6" s="72"/>
      <c r="L6" s="75"/>
      <c r="M6" s="75"/>
      <c r="N6" s="75"/>
      <c r="O6" s="75"/>
      <c r="P6" s="75"/>
      <c r="Q6" s="75"/>
      <c r="R6" s="75"/>
      <c r="S6" s="75"/>
      <c r="T6" s="75"/>
      <c r="U6" s="75"/>
    </row>
    <row r="7" spans="1:21" x14ac:dyDescent="0.2">
      <c r="C7" s="71" t="s">
        <v>232</v>
      </c>
      <c r="D7" s="71">
        <v>0.09</v>
      </c>
      <c r="E7" s="71">
        <v>1.032</v>
      </c>
      <c r="F7" s="49">
        <v>7</v>
      </c>
      <c r="G7" s="49" t="s">
        <v>233</v>
      </c>
      <c r="H7" s="69" t="s">
        <v>139</v>
      </c>
      <c r="I7" s="69">
        <v>5</v>
      </c>
      <c r="K7" s="72"/>
      <c r="L7" s="75"/>
      <c r="M7" s="75"/>
      <c r="N7" s="75"/>
      <c r="O7" s="75"/>
      <c r="P7" s="75"/>
      <c r="Q7" s="75"/>
      <c r="R7" s="75"/>
      <c r="S7" s="75"/>
      <c r="T7" s="75"/>
      <c r="U7" s="75"/>
    </row>
    <row r="8" spans="1:21" x14ac:dyDescent="0.2">
      <c r="A8" s="77" t="s">
        <v>234</v>
      </c>
      <c r="B8" s="77"/>
      <c r="C8" s="76" t="s">
        <v>235</v>
      </c>
      <c r="D8" s="71">
        <v>1</v>
      </c>
      <c r="E8" s="71">
        <v>1.0369999999999999</v>
      </c>
      <c r="F8" s="78">
        <v>14</v>
      </c>
      <c r="G8" s="49" t="s">
        <v>236</v>
      </c>
      <c r="H8" s="69" t="s">
        <v>140</v>
      </c>
      <c r="I8" s="69">
        <v>10</v>
      </c>
      <c r="K8" s="72"/>
      <c r="L8" s="75"/>
      <c r="M8" s="75"/>
      <c r="N8" s="75"/>
      <c r="O8" s="75"/>
      <c r="P8" s="75"/>
      <c r="Q8" s="75"/>
      <c r="R8" s="75"/>
      <c r="S8" s="75"/>
      <c r="T8" s="75"/>
      <c r="U8" s="75"/>
    </row>
    <row r="9" spans="1:21" x14ac:dyDescent="0.2">
      <c r="A9" s="69" t="s">
        <v>26</v>
      </c>
      <c r="C9" s="76" t="s">
        <v>237</v>
      </c>
      <c r="D9" s="71">
        <v>1</v>
      </c>
      <c r="E9" s="71">
        <v>1.036</v>
      </c>
      <c r="F9" s="49">
        <v>20</v>
      </c>
      <c r="G9" s="49" t="s">
        <v>238</v>
      </c>
      <c r="H9" s="69" t="s">
        <v>141</v>
      </c>
      <c r="I9" s="69">
        <v>6.5</v>
      </c>
      <c r="K9" s="72"/>
      <c r="L9" s="75"/>
      <c r="M9" s="75"/>
      <c r="N9" s="75"/>
      <c r="O9" s="75"/>
      <c r="P9" s="75"/>
      <c r="Q9" s="75"/>
      <c r="R9" s="75"/>
      <c r="S9" s="75"/>
      <c r="T9" s="75"/>
      <c r="U9" s="75"/>
    </row>
    <row r="10" spans="1:21" x14ac:dyDescent="0.2">
      <c r="A10" s="69" t="s">
        <v>239</v>
      </c>
      <c r="C10" s="76" t="s">
        <v>240</v>
      </c>
      <c r="D10" s="71">
        <v>1</v>
      </c>
      <c r="E10" s="71">
        <v>1.0329999999999999</v>
      </c>
      <c r="F10" s="49">
        <v>32</v>
      </c>
      <c r="G10" s="49" t="s">
        <v>241</v>
      </c>
      <c r="H10" s="69" t="s">
        <v>142</v>
      </c>
      <c r="I10" s="69">
        <v>9</v>
      </c>
      <c r="K10" s="72"/>
      <c r="L10" s="75"/>
      <c r="M10" s="75"/>
      <c r="N10" s="75"/>
      <c r="O10" s="75"/>
      <c r="P10" s="75"/>
      <c r="Q10" s="75"/>
      <c r="R10" s="75"/>
      <c r="S10" s="75"/>
      <c r="T10" s="75"/>
      <c r="U10" s="75"/>
    </row>
    <row r="11" spans="1:21" x14ac:dyDescent="0.2">
      <c r="A11" s="69" t="s">
        <v>129</v>
      </c>
      <c r="C11" s="76" t="s">
        <v>242</v>
      </c>
      <c r="D11" s="71">
        <v>1</v>
      </c>
      <c r="E11" s="71">
        <v>1.036</v>
      </c>
      <c r="F11" s="49">
        <v>40</v>
      </c>
      <c r="G11" s="49" t="s">
        <v>243</v>
      </c>
      <c r="H11" s="69" t="s">
        <v>143</v>
      </c>
      <c r="I11" s="69">
        <v>7.5</v>
      </c>
      <c r="K11" s="72"/>
      <c r="L11" s="75"/>
      <c r="M11" s="75"/>
      <c r="N11" s="75"/>
      <c r="O11" s="75"/>
      <c r="P11" s="75"/>
      <c r="Q11" s="75"/>
      <c r="R11" s="75"/>
      <c r="S11" s="75"/>
      <c r="T11" s="75"/>
      <c r="U11" s="75"/>
    </row>
    <row r="12" spans="1:21" x14ac:dyDescent="0.2">
      <c r="C12" s="76" t="s">
        <v>244</v>
      </c>
      <c r="D12" s="71">
        <v>1.5</v>
      </c>
      <c r="E12" s="71">
        <v>1.0329999999999999</v>
      </c>
      <c r="H12" s="69" t="s">
        <v>93</v>
      </c>
      <c r="I12" s="69">
        <v>7</v>
      </c>
      <c r="K12" s="72"/>
      <c r="L12" s="75"/>
      <c r="M12" s="75"/>
      <c r="N12" s="75"/>
      <c r="O12" s="75"/>
      <c r="P12" s="75"/>
      <c r="Q12" s="75"/>
      <c r="R12" s="75"/>
      <c r="S12" s="75"/>
      <c r="T12" s="75"/>
      <c r="U12" s="75"/>
    </row>
    <row r="13" spans="1:21" x14ac:dyDescent="0.2">
      <c r="C13" s="76" t="s">
        <v>245</v>
      </c>
      <c r="D13" s="71">
        <v>1.5</v>
      </c>
      <c r="E13" s="71">
        <v>1.038</v>
      </c>
      <c r="H13" s="69" t="s">
        <v>144</v>
      </c>
      <c r="I13" s="69">
        <v>9</v>
      </c>
      <c r="K13" s="72"/>
      <c r="L13" s="75"/>
      <c r="M13" s="75"/>
      <c r="N13" s="75"/>
      <c r="O13" s="75"/>
      <c r="P13" s="75"/>
      <c r="Q13" s="75"/>
      <c r="R13" s="75"/>
      <c r="S13" s="75"/>
      <c r="T13" s="75"/>
      <c r="U13" s="75"/>
    </row>
    <row r="14" spans="1:21" x14ac:dyDescent="0.2">
      <c r="C14" s="76" t="s">
        <v>246</v>
      </c>
      <c r="D14" s="71">
        <v>1.8</v>
      </c>
      <c r="E14" s="71">
        <v>1.0369999999999999</v>
      </c>
      <c r="H14" s="69" t="s">
        <v>145</v>
      </c>
      <c r="I14" s="69">
        <v>8.5</v>
      </c>
      <c r="K14" s="72"/>
      <c r="L14" s="75"/>
      <c r="M14" s="75"/>
      <c r="N14" s="75"/>
      <c r="O14" s="75"/>
      <c r="P14" s="75"/>
      <c r="Q14" s="75"/>
      <c r="R14" s="75"/>
      <c r="S14" s="75"/>
      <c r="T14" s="75"/>
      <c r="U14" s="75"/>
    </row>
    <row r="15" spans="1:21" x14ac:dyDescent="0.2">
      <c r="C15" s="71" t="s">
        <v>247</v>
      </c>
      <c r="D15" s="71">
        <v>1.8</v>
      </c>
      <c r="E15" s="71">
        <v>1.038</v>
      </c>
      <c r="H15" s="69" t="s">
        <v>146</v>
      </c>
      <c r="I15" s="69">
        <v>11</v>
      </c>
      <c r="K15" s="72"/>
      <c r="L15" s="75"/>
      <c r="M15" s="75"/>
      <c r="N15" s="75"/>
      <c r="O15" s="75"/>
      <c r="P15" s="75"/>
      <c r="Q15" s="75"/>
      <c r="R15" s="75"/>
      <c r="S15" s="75"/>
      <c r="T15" s="75"/>
      <c r="U15" s="75"/>
    </row>
    <row r="16" spans="1:21" x14ac:dyDescent="0.2">
      <c r="C16" s="76" t="s">
        <v>25</v>
      </c>
      <c r="D16" s="71">
        <v>1.8</v>
      </c>
      <c r="E16" s="71">
        <v>1.036</v>
      </c>
      <c r="H16" s="69" t="s">
        <v>147</v>
      </c>
      <c r="I16" s="69">
        <v>11</v>
      </c>
      <c r="K16" s="72"/>
      <c r="L16" s="75"/>
      <c r="M16" s="75"/>
      <c r="N16" s="75"/>
      <c r="O16" s="75"/>
      <c r="P16" s="75"/>
      <c r="Q16" s="75"/>
      <c r="R16" s="75"/>
      <c r="S16" s="75"/>
      <c r="T16" s="75"/>
      <c r="U16" s="75"/>
    </row>
    <row r="17" spans="3:21" x14ac:dyDescent="0.2">
      <c r="C17" s="76" t="s">
        <v>248</v>
      </c>
      <c r="D17" s="71">
        <v>1.8</v>
      </c>
      <c r="E17" s="71">
        <v>1.0269999999999999</v>
      </c>
      <c r="H17" s="69" t="s">
        <v>148</v>
      </c>
      <c r="I17" s="69">
        <v>6.5</v>
      </c>
      <c r="K17" s="72"/>
      <c r="L17" s="75"/>
      <c r="M17" s="75"/>
      <c r="N17" s="75"/>
      <c r="O17" s="75"/>
      <c r="P17" s="75"/>
      <c r="Q17" s="75"/>
      <c r="R17" s="75"/>
      <c r="S17" s="75"/>
      <c r="T17" s="75"/>
      <c r="U17" s="75"/>
    </row>
    <row r="18" spans="3:21" x14ac:dyDescent="0.2">
      <c r="C18" s="76" t="s">
        <v>249</v>
      </c>
      <c r="D18" s="71">
        <v>1.8</v>
      </c>
      <c r="E18" s="71">
        <v>1.038</v>
      </c>
      <c r="H18" s="69" t="s">
        <v>149</v>
      </c>
      <c r="I18" s="69">
        <v>15</v>
      </c>
      <c r="K18" s="72"/>
      <c r="L18" s="75"/>
      <c r="M18" s="75"/>
      <c r="N18" s="75"/>
      <c r="O18" s="75"/>
      <c r="P18" s="75"/>
      <c r="Q18" s="75"/>
      <c r="R18" s="75"/>
      <c r="S18" s="75"/>
      <c r="T18" s="75"/>
      <c r="U18" s="75"/>
    </row>
    <row r="19" spans="3:21" x14ac:dyDescent="0.2">
      <c r="C19" s="76" t="s">
        <v>250</v>
      </c>
      <c r="D19" s="71">
        <v>2</v>
      </c>
      <c r="E19" s="71">
        <v>1.0329999999999999</v>
      </c>
      <c r="H19" s="69" t="s">
        <v>150</v>
      </c>
      <c r="I19" s="69">
        <v>11.3</v>
      </c>
      <c r="K19" s="72"/>
      <c r="L19" s="75"/>
      <c r="M19" s="75"/>
      <c r="N19" s="75"/>
      <c r="O19" s="75"/>
      <c r="P19" s="75"/>
      <c r="Q19" s="75"/>
      <c r="R19" s="75"/>
      <c r="S19" s="75"/>
      <c r="T19" s="75"/>
      <c r="U19" s="75"/>
    </row>
    <row r="20" spans="3:21" x14ac:dyDescent="0.2">
      <c r="C20" s="76" t="s">
        <v>251</v>
      </c>
      <c r="D20" s="71">
        <v>2</v>
      </c>
      <c r="E20" s="71">
        <v>1.048</v>
      </c>
      <c r="H20" s="69" t="s">
        <v>151</v>
      </c>
      <c r="I20" s="69">
        <v>4.3</v>
      </c>
      <c r="K20" s="72"/>
      <c r="L20" s="75"/>
      <c r="M20" s="75"/>
      <c r="N20" s="75"/>
      <c r="O20" s="75"/>
      <c r="P20" s="75"/>
      <c r="Q20" s="75"/>
      <c r="R20" s="75"/>
      <c r="S20" s="75"/>
      <c r="T20" s="75"/>
      <c r="U20" s="75"/>
    </row>
    <row r="21" spans="3:21" x14ac:dyDescent="0.2">
      <c r="C21" s="71" t="s">
        <v>252</v>
      </c>
      <c r="D21" s="71">
        <v>2.2000000000000002</v>
      </c>
      <c r="E21" s="71">
        <v>1.038</v>
      </c>
      <c r="H21" s="69" t="s">
        <v>152</v>
      </c>
      <c r="I21" s="69">
        <v>3.9</v>
      </c>
      <c r="K21" s="72"/>
      <c r="L21" s="75"/>
      <c r="M21" s="75"/>
      <c r="N21" s="75"/>
      <c r="O21" s="75"/>
      <c r="P21" s="75"/>
      <c r="Q21" s="75"/>
      <c r="R21" s="75"/>
      <c r="S21" s="75"/>
      <c r="T21" s="75"/>
      <c r="U21" s="75"/>
    </row>
    <row r="22" spans="3:21" x14ac:dyDescent="0.2">
      <c r="C22" s="71" t="s">
        <v>253</v>
      </c>
      <c r="D22" s="71">
        <v>2.5</v>
      </c>
      <c r="E22" s="71">
        <v>1.0369999999999999</v>
      </c>
      <c r="H22" s="69" t="s">
        <v>153</v>
      </c>
      <c r="I22" s="69">
        <v>5</v>
      </c>
    </row>
    <row r="23" spans="3:21" x14ac:dyDescent="0.2">
      <c r="C23" s="76" t="s">
        <v>254</v>
      </c>
      <c r="D23" s="71">
        <v>2.8</v>
      </c>
      <c r="E23" s="71">
        <v>1.034</v>
      </c>
      <c r="H23" s="69" t="s">
        <v>154</v>
      </c>
      <c r="I23" s="69">
        <v>12</v>
      </c>
    </row>
    <row r="24" spans="3:21" x14ac:dyDescent="0.2">
      <c r="C24" s="76" t="s">
        <v>255</v>
      </c>
      <c r="D24" s="71">
        <v>3</v>
      </c>
      <c r="E24" s="71">
        <v>1.0349999999999999</v>
      </c>
      <c r="H24" s="69" t="s">
        <v>155</v>
      </c>
      <c r="I24" s="69">
        <v>7.5</v>
      </c>
    </row>
    <row r="25" spans="3:21" x14ac:dyDescent="0.2">
      <c r="C25" s="71" t="s">
        <v>256</v>
      </c>
      <c r="D25" s="71">
        <v>3</v>
      </c>
      <c r="E25" s="71">
        <v>1.044</v>
      </c>
      <c r="H25" s="69" t="s">
        <v>156</v>
      </c>
      <c r="I25" s="69">
        <v>4.5</v>
      </c>
    </row>
    <row r="26" spans="3:21" x14ac:dyDescent="0.2">
      <c r="C26" s="71" t="s">
        <v>257</v>
      </c>
      <c r="D26" s="71">
        <v>3.5</v>
      </c>
      <c r="E26" s="71">
        <v>1.044</v>
      </c>
      <c r="H26" s="69" t="s">
        <v>157</v>
      </c>
      <c r="I26" s="69">
        <v>13</v>
      </c>
    </row>
    <row r="27" spans="3:21" x14ac:dyDescent="0.2">
      <c r="C27" s="71" t="s">
        <v>258</v>
      </c>
      <c r="D27" s="71">
        <v>3.5</v>
      </c>
      <c r="E27" s="71">
        <v>1.0369999999999999</v>
      </c>
      <c r="H27" s="69" t="s">
        <v>158</v>
      </c>
      <c r="I27" s="69">
        <v>5.5</v>
      </c>
    </row>
    <row r="28" spans="3:21" x14ac:dyDescent="0.2">
      <c r="C28" s="76" t="s">
        <v>259</v>
      </c>
      <c r="D28" s="71">
        <v>6</v>
      </c>
      <c r="E28" s="71">
        <v>1.0369999999999999</v>
      </c>
      <c r="H28" s="69" t="s">
        <v>159</v>
      </c>
      <c r="I28" s="69">
        <v>4.5</v>
      </c>
    </row>
    <row r="29" spans="3:21" x14ac:dyDescent="0.2">
      <c r="C29" s="76" t="s">
        <v>260</v>
      </c>
      <c r="D29" s="71">
        <v>8</v>
      </c>
      <c r="E29" s="71">
        <v>1.038</v>
      </c>
      <c r="H29" s="69" t="s">
        <v>160</v>
      </c>
      <c r="I29" s="69">
        <v>3.75</v>
      </c>
    </row>
    <row r="30" spans="3:21" x14ac:dyDescent="0.2">
      <c r="C30" s="76" t="s">
        <v>261</v>
      </c>
      <c r="D30" s="71">
        <v>8</v>
      </c>
      <c r="E30" s="71">
        <v>1.034</v>
      </c>
      <c r="H30" s="69" t="s">
        <v>161</v>
      </c>
      <c r="I30" s="69">
        <v>4</v>
      </c>
    </row>
    <row r="31" spans="3:21" x14ac:dyDescent="0.2">
      <c r="C31" s="76" t="s">
        <v>262</v>
      </c>
      <c r="D31" s="71">
        <v>10</v>
      </c>
      <c r="E31" s="71">
        <v>1.032</v>
      </c>
      <c r="H31" s="69" t="s">
        <v>162</v>
      </c>
      <c r="I31" s="69">
        <v>12</v>
      </c>
    </row>
    <row r="32" spans="3:21" x14ac:dyDescent="0.2">
      <c r="C32" s="76" t="s">
        <v>263</v>
      </c>
      <c r="D32" s="71">
        <v>10</v>
      </c>
      <c r="E32" s="71">
        <v>1.0369999999999999</v>
      </c>
      <c r="H32" s="69" t="s">
        <v>163</v>
      </c>
      <c r="I32" s="69">
        <v>4</v>
      </c>
    </row>
    <row r="33" spans="3:9" x14ac:dyDescent="0.2">
      <c r="C33" s="71" t="s">
        <v>264</v>
      </c>
      <c r="D33" s="71">
        <v>10</v>
      </c>
      <c r="E33" s="71">
        <v>1.044</v>
      </c>
      <c r="H33" s="69" t="s">
        <v>164</v>
      </c>
      <c r="I33" s="69">
        <v>12.5</v>
      </c>
    </row>
    <row r="34" spans="3:9" x14ac:dyDescent="0.2">
      <c r="C34" s="76" t="s">
        <v>265</v>
      </c>
      <c r="D34" s="71">
        <v>11</v>
      </c>
      <c r="E34" s="71">
        <v>1.032</v>
      </c>
      <c r="H34" s="69" t="s">
        <v>165</v>
      </c>
      <c r="I34" s="69">
        <v>5.75</v>
      </c>
    </row>
    <row r="35" spans="3:9" x14ac:dyDescent="0.2">
      <c r="C35" s="76" t="s">
        <v>266</v>
      </c>
      <c r="D35" s="71">
        <v>15</v>
      </c>
      <c r="E35" s="71">
        <v>1.032</v>
      </c>
      <c r="H35" s="69" t="s">
        <v>91</v>
      </c>
      <c r="I35" s="69">
        <v>5</v>
      </c>
    </row>
    <row r="36" spans="3:9" x14ac:dyDescent="0.2">
      <c r="C36" s="76" t="s">
        <v>267</v>
      </c>
      <c r="D36" s="71">
        <v>20</v>
      </c>
      <c r="E36" s="71">
        <v>1.0329999999999999</v>
      </c>
      <c r="H36" s="69" t="s">
        <v>166</v>
      </c>
      <c r="I36" s="69">
        <v>4</v>
      </c>
    </row>
    <row r="37" spans="3:9" x14ac:dyDescent="0.2">
      <c r="C37" s="76" t="s">
        <v>268</v>
      </c>
      <c r="D37" s="71">
        <v>20</v>
      </c>
      <c r="E37" s="71">
        <v>1.036</v>
      </c>
      <c r="H37" s="69" t="s">
        <v>167</v>
      </c>
      <c r="I37" s="69">
        <v>4.5</v>
      </c>
    </row>
    <row r="38" spans="3:9" x14ac:dyDescent="0.2">
      <c r="C38" s="76" t="s">
        <v>269</v>
      </c>
      <c r="D38" s="71">
        <v>24</v>
      </c>
      <c r="E38" s="71">
        <v>1.034</v>
      </c>
      <c r="H38" s="69" t="s">
        <v>168</v>
      </c>
      <c r="I38" s="69">
        <v>15</v>
      </c>
    </row>
    <row r="39" spans="3:9" x14ac:dyDescent="0.2">
      <c r="C39" s="76" t="s">
        <v>270</v>
      </c>
      <c r="D39" s="71">
        <v>24.5</v>
      </c>
      <c r="E39" s="71">
        <v>1.0349999999999999</v>
      </c>
      <c r="H39" s="69" t="s">
        <v>169</v>
      </c>
      <c r="I39" s="69">
        <v>15.5</v>
      </c>
    </row>
    <row r="40" spans="3:9" x14ac:dyDescent="0.2">
      <c r="C40" s="76" t="s">
        <v>271</v>
      </c>
      <c r="D40" s="71">
        <v>25</v>
      </c>
      <c r="E40" s="71">
        <v>1.034</v>
      </c>
      <c r="H40" s="69" t="s">
        <v>170</v>
      </c>
      <c r="I40" s="69">
        <v>4.8</v>
      </c>
    </row>
    <row r="41" spans="3:9" x14ac:dyDescent="0.2">
      <c r="C41" s="76" t="s">
        <v>272</v>
      </c>
      <c r="D41" s="71">
        <v>25</v>
      </c>
      <c r="E41" s="71">
        <v>1.034</v>
      </c>
      <c r="H41" s="69" t="s">
        <v>171</v>
      </c>
      <c r="I41" s="69">
        <v>6.2</v>
      </c>
    </row>
    <row r="42" spans="3:9" x14ac:dyDescent="0.2">
      <c r="C42" s="71" t="s">
        <v>273</v>
      </c>
      <c r="D42" s="71">
        <v>30</v>
      </c>
      <c r="E42" s="71">
        <v>1.044</v>
      </c>
      <c r="H42" s="69" t="s">
        <v>130</v>
      </c>
      <c r="I42" s="69">
        <v>11</v>
      </c>
    </row>
    <row r="43" spans="3:9" x14ac:dyDescent="0.2">
      <c r="C43" s="76" t="s">
        <v>274</v>
      </c>
      <c r="D43" s="71">
        <v>35</v>
      </c>
      <c r="E43" s="71">
        <v>1.032</v>
      </c>
      <c r="H43" s="69" t="s">
        <v>172</v>
      </c>
      <c r="I43" s="69">
        <v>7</v>
      </c>
    </row>
    <row r="44" spans="3:9" x14ac:dyDescent="0.2">
      <c r="C44" s="76" t="s">
        <v>275</v>
      </c>
      <c r="D44" s="71">
        <v>40</v>
      </c>
      <c r="E44" s="71">
        <v>1.034</v>
      </c>
      <c r="H44" s="69" t="s">
        <v>173</v>
      </c>
      <c r="I44" s="69">
        <v>12.5</v>
      </c>
    </row>
    <row r="45" spans="3:9" x14ac:dyDescent="0.2">
      <c r="C45" s="71" t="s">
        <v>276</v>
      </c>
      <c r="D45" s="71">
        <v>40</v>
      </c>
      <c r="E45" s="71">
        <v>1.046</v>
      </c>
      <c r="H45" s="69" t="s">
        <v>174</v>
      </c>
      <c r="I45" s="69">
        <v>15.5</v>
      </c>
    </row>
    <row r="46" spans="3:9" x14ac:dyDescent="0.2">
      <c r="C46" s="76" t="s">
        <v>277</v>
      </c>
      <c r="D46" s="71">
        <v>40</v>
      </c>
      <c r="E46" s="71">
        <v>1.0329999999999999</v>
      </c>
      <c r="H46" s="69" t="s">
        <v>175</v>
      </c>
      <c r="I46" s="69">
        <v>8.6</v>
      </c>
    </row>
    <row r="47" spans="3:9" x14ac:dyDescent="0.2">
      <c r="C47" s="76" t="s">
        <v>278</v>
      </c>
      <c r="D47" s="71">
        <v>45</v>
      </c>
      <c r="E47" s="71">
        <v>1.032</v>
      </c>
      <c r="H47" s="69" t="s">
        <v>176</v>
      </c>
      <c r="I47" s="69">
        <v>9</v>
      </c>
    </row>
    <row r="48" spans="3:9" x14ac:dyDescent="0.2">
      <c r="C48" s="76" t="s">
        <v>279</v>
      </c>
      <c r="D48" s="71">
        <v>45</v>
      </c>
      <c r="E48" s="71">
        <v>1.034</v>
      </c>
      <c r="H48" s="69" t="s">
        <v>177</v>
      </c>
      <c r="I48" s="69">
        <v>14</v>
      </c>
    </row>
    <row r="49" spans="3:9" x14ac:dyDescent="0.2">
      <c r="C49" s="76" t="s">
        <v>280</v>
      </c>
      <c r="D49" s="71">
        <v>50</v>
      </c>
      <c r="E49" s="71">
        <v>1.0349999999999999</v>
      </c>
      <c r="H49" s="69" t="s">
        <v>178</v>
      </c>
      <c r="I49" s="69">
        <v>12</v>
      </c>
    </row>
    <row r="50" spans="3:9" x14ac:dyDescent="0.2">
      <c r="C50" s="76" t="s">
        <v>281</v>
      </c>
      <c r="D50" s="71">
        <v>65</v>
      </c>
      <c r="E50" s="71">
        <v>1.0349999999999999</v>
      </c>
      <c r="H50" s="69" t="s">
        <v>179</v>
      </c>
      <c r="I50" s="69">
        <v>10</v>
      </c>
    </row>
    <row r="51" spans="3:9" x14ac:dyDescent="0.2">
      <c r="C51" s="76" t="s">
        <v>29</v>
      </c>
      <c r="D51" s="71">
        <v>65</v>
      </c>
      <c r="E51" s="71">
        <v>1.03</v>
      </c>
      <c r="H51" s="69" t="s">
        <v>180</v>
      </c>
      <c r="I51" s="69">
        <v>7</v>
      </c>
    </row>
    <row r="52" spans="3:9" x14ac:dyDescent="0.2">
      <c r="C52" s="76" t="s">
        <v>27</v>
      </c>
      <c r="D52" s="71">
        <v>85</v>
      </c>
      <c r="E52" s="71">
        <v>1.0349999999999999</v>
      </c>
      <c r="H52" s="69" t="s">
        <v>181</v>
      </c>
      <c r="I52" s="69">
        <v>15.4</v>
      </c>
    </row>
    <row r="53" spans="3:9" x14ac:dyDescent="0.2">
      <c r="C53" s="76" t="s">
        <v>282</v>
      </c>
      <c r="D53" s="71">
        <v>110</v>
      </c>
      <c r="E53" s="71">
        <v>1.03</v>
      </c>
      <c r="H53" s="69" t="s">
        <v>131</v>
      </c>
      <c r="I53" s="69">
        <v>8</v>
      </c>
    </row>
    <row r="54" spans="3:9" x14ac:dyDescent="0.2">
      <c r="C54" s="76" t="s">
        <v>283</v>
      </c>
      <c r="D54" s="71">
        <v>130</v>
      </c>
      <c r="E54" s="71">
        <v>1.034</v>
      </c>
      <c r="G54" s="69" t="str">
        <f t="shared" ref="G54:G78" si="0">LEFT(F54, 7)</f>
        <v/>
      </c>
      <c r="H54" s="69" t="s">
        <v>182</v>
      </c>
      <c r="I54" s="69">
        <v>8.1999999999999993</v>
      </c>
    </row>
    <row r="55" spans="3:9" x14ac:dyDescent="0.2">
      <c r="C55" s="76" t="s">
        <v>284</v>
      </c>
      <c r="D55" s="71">
        <v>150</v>
      </c>
      <c r="E55" s="71">
        <v>1.034</v>
      </c>
      <c r="G55" s="69" t="str">
        <f t="shared" si="0"/>
        <v/>
      </c>
      <c r="H55" s="69" t="s">
        <v>183</v>
      </c>
      <c r="I55" s="69">
        <v>10</v>
      </c>
    </row>
    <row r="56" spans="3:9" x14ac:dyDescent="0.2">
      <c r="C56" s="76" t="s">
        <v>285</v>
      </c>
      <c r="D56" s="71">
        <v>165</v>
      </c>
      <c r="E56" s="71">
        <v>1.03</v>
      </c>
      <c r="G56" s="69" t="str">
        <f t="shared" si="0"/>
        <v/>
      </c>
      <c r="H56" s="69" t="s">
        <v>184</v>
      </c>
      <c r="I56" s="69">
        <v>9</v>
      </c>
    </row>
    <row r="57" spans="3:9" x14ac:dyDescent="0.2">
      <c r="C57" s="76" t="s">
        <v>33</v>
      </c>
      <c r="D57" s="71">
        <v>215</v>
      </c>
      <c r="E57" s="71">
        <v>1.034</v>
      </c>
      <c r="G57" s="69" t="str">
        <f t="shared" si="0"/>
        <v/>
      </c>
      <c r="H57" s="69" t="s">
        <v>185</v>
      </c>
      <c r="I57" s="69">
        <v>10</v>
      </c>
    </row>
    <row r="58" spans="3:9" x14ac:dyDescent="0.2">
      <c r="C58" s="76" t="s">
        <v>286</v>
      </c>
      <c r="D58" s="71">
        <v>275</v>
      </c>
      <c r="E58" s="71">
        <v>1.034</v>
      </c>
      <c r="G58" s="69" t="str">
        <f t="shared" si="0"/>
        <v/>
      </c>
      <c r="H58" s="69" t="s">
        <v>186</v>
      </c>
      <c r="I58" s="69">
        <v>6.25</v>
      </c>
    </row>
    <row r="59" spans="3:9" x14ac:dyDescent="0.2">
      <c r="C59" s="76" t="s">
        <v>288</v>
      </c>
      <c r="D59" s="71">
        <v>350</v>
      </c>
      <c r="E59" s="71">
        <v>1.034</v>
      </c>
      <c r="G59" s="69" t="str">
        <f t="shared" si="0"/>
        <v/>
      </c>
      <c r="H59" s="69" t="s">
        <v>187</v>
      </c>
      <c r="I59" s="69">
        <v>6.5</v>
      </c>
    </row>
    <row r="60" spans="3:9" x14ac:dyDescent="0.2">
      <c r="C60" s="76" t="s">
        <v>287</v>
      </c>
      <c r="D60" s="71">
        <v>390</v>
      </c>
      <c r="E60" s="71">
        <v>1.034</v>
      </c>
      <c r="G60" s="69" t="str">
        <f t="shared" si="0"/>
        <v/>
      </c>
      <c r="H60" s="69" t="s">
        <v>188</v>
      </c>
      <c r="I60" s="69">
        <v>3.5</v>
      </c>
    </row>
    <row r="61" spans="3:9" x14ac:dyDescent="0.2">
      <c r="C61" s="76" t="s">
        <v>38</v>
      </c>
      <c r="D61" s="71">
        <v>500</v>
      </c>
      <c r="E61" s="71">
        <v>1.026</v>
      </c>
      <c r="G61" s="69" t="str">
        <f t="shared" si="0"/>
        <v/>
      </c>
      <c r="H61" s="69" t="s">
        <v>189</v>
      </c>
      <c r="I61" s="69">
        <v>6.5</v>
      </c>
    </row>
    <row r="62" spans="3:9" x14ac:dyDescent="0.2">
      <c r="C62" s="79" t="s">
        <v>289</v>
      </c>
      <c r="D62" s="71">
        <v>500</v>
      </c>
      <c r="E62" s="80">
        <v>1.0249999999999999</v>
      </c>
      <c r="G62" s="69" t="str">
        <f t="shared" si="0"/>
        <v/>
      </c>
      <c r="H62" s="69" t="s">
        <v>190</v>
      </c>
      <c r="I62" s="69">
        <v>13</v>
      </c>
    </row>
    <row r="63" spans="3:9" x14ac:dyDescent="0.2">
      <c r="C63" s="79" t="s">
        <v>36</v>
      </c>
      <c r="D63" s="71">
        <v>500</v>
      </c>
      <c r="E63" s="80">
        <v>1.0249999999999999</v>
      </c>
      <c r="G63" s="69" t="str">
        <f t="shared" si="0"/>
        <v/>
      </c>
      <c r="H63" s="69" t="s">
        <v>191</v>
      </c>
      <c r="I63" s="69">
        <v>12.7</v>
      </c>
    </row>
    <row r="64" spans="3:9" x14ac:dyDescent="0.2">
      <c r="G64" s="69" t="str">
        <f t="shared" si="0"/>
        <v/>
      </c>
      <c r="H64" s="69" t="s">
        <v>192</v>
      </c>
      <c r="I64" s="69">
        <v>11.1</v>
      </c>
    </row>
    <row r="65" spans="7:9" x14ac:dyDescent="0.2">
      <c r="G65" s="69" t="str">
        <f t="shared" si="0"/>
        <v/>
      </c>
      <c r="H65" s="69" t="s">
        <v>193</v>
      </c>
      <c r="I65" s="69">
        <v>4.5</v>
      </c>
    </row>
    <row r="66" spans="7:9" x14ac:dyDescent="0.2">
      <c r="G66" s="69" t="str">
        <f t="shared" si="0"/>
        <v/>
      </c>
      <c r="H66" s="69" t="s">
        <v>194</v>
      </c>
      <c r="I66" s="69">
        <v>8.6999999999999993</v>
      </c>
    </row>
    <row r="67" spans="7:9" x14ac:dyDescent="0.2">
      <c r="G67" s="69" t="str">
        <f t="shared" si="0"/>
        <v/>
      </c>
      <c r="H67" s="69" t="s">
        <v>195</v>
      </c>
      <c r="I67" s="69">
        <v>11.5</v>
      </c>
    </row>
    <row r="68" spans="7:9" x14ac:dyDescent="0.2">
      <c r="G68" s="69" t="str">
        <f t="shared" si="0"/>
        <v/>
      </c>
      <c r="H68" s="69" t="s">
        <v>196</v>
      </c>
      <c r="I68" s="69">
        <v>3.5</v>
      </c>
    </row>
    <row r="69" spans="7:9" x14ac:dyDescent="0.2">
      <c r="G69" s="69" t="str">
        <f t="shared" si="0"/>
        <v/>
      </c>
      <c r="H69" s="69" t="s">
        <v>197</v>
      </c>
      <c r="I69" s="69">
        <v>5.5</v>
      </c>
    </row>
    <row r="70" spans="7:9" x14ac:dyDescent="0.2">
      <c r="G70" s="69" t="str">
        <f t="shared" si="0"/>
        <v/>
      </c>
      <c r="H70" s="69" t="s">
        <v>198</v>
      </c>
      <c r="I70" s="69">
        <v>13</v>
      </c>
    </row>
    <row r="71" spans="7:9" x14ac:dyDescent="0.2">
      <c r="G71" s="69" t="str">
        <f t="shared" si="0"/>
        <v/>
      </c>
      <c r="H71" s="69" t="s">
        <v>199</v>
      </c>
      <c r="I71" s="69">
        <v>9</v>
      </c>
    </row>
    <row r="72" spans="7:9" x14ac:dyDescent="0.2">
      <c r="G72" s="69" t="str">
        <f t="shared" si="0"/>
        <v/>
      </c>
      <c r="H72" s="69" t="s">
        <v>200</v>
      </c>
      <c r="I72" s="69">
        <v>18.5</v>
      </c>
    </row>
    <row r="73" spans="7:9" x14ac:dyDescent="0.2">
      <c r="G73" s="69" t="str">
        <f t="shared" si="0"/>
        <v/>
      </c>
      <c r="H73" s="69" t="s">
        <v>201</v>
      </c>
      <c r="I73" s="69">
        <v>8</v>
      </c>
    </row>
    <row r="74" spans="7:9" x14ac:dyDescent="0.2">
      <c r="G74" s="69" t="str">
        <f t="shared" si="0"/>
        <v/>
      </c>
      <c r="H74" s="69" t="s">
        <v>202</v>
      </c>
      <c r="I74" s="69">
        <v>11.5</v>
      </c>
    </row>
    <row r="75" spans="7:9" x14ac:dyDescent="0.2">
      <c r="G75" s="69" t="str">
        <f t="shared" si="0"/>
        <v/>
      </c>
      <c r="H75" s="69" t="s">
        <v>203</v>
      </c>
      <c r="I75" s="69">
        <v>4.5</v>
      </c>
    </row>
    <row r="76" spans="7:9" x14ac:dyDescent="0.2">
      <c r="G76" s="69" t="str">
        <f t="shared" si="0"/>
        <v/>
      </c>
      <c r="H76" s="69" t="s">
        <v>204</v>
      </c>
      <c r="I76" s="69">
        <v>15</v>
      </c>
    </row>
    <row r="77" spans="7:9" x14ac:dyDescent="0.2">
      <c r="G77" s="69" t="str">
        <f t="shared" si="0"/>
        <v/>
      </c>
      <c r="H77" s="69" t="s">
        <v>205</v>
      </c>
      <c r="I77" s="69">
        <v>4.5</v>
      </c>
    </row>
    <row r="78" spans="7:9" x14ac:dyDescent="0.2">
      <c r="G78" s="69" t="str">
        <f t="shared" si="0"/>
        <v/>
      </c>
      <c r="H78" s="69" t="s">
        <v>206</v>
      </c>
      <c r="I78" s="69">
        <v>5</v>
      </c>
    </row>
    <row r="79" spans="7:9" x14ac:dyDescent="0.2">
      <c r="G79" s="69" t="str">
        <f t="shared" ref="G79:G86" si="1">LEFT(F79, 7)</f>
        <v/>
      </c>
      <c r="H79" s="69" t="s">
        <v>207</v>
      </c>
      <c r="I79" s="69">
        <v>16</v>
      </c>
    </row>
    <row r="80" spans="7:9" x14ac:dyDescent="0.2">
      <c r="G80" s="69" t="str">
        <f t="shared" si="1"/>
        <v/>
      </c>
      <c r="H80" s="69" t="s">
        <v>208</v>
      </c>
      <c r="I80" s="69">
        <v>6</v>
      </c>
    </row>
    <row r="81" spans="7:9" x14ac:dyDescent="0.2">
      <c r="G81" s="69" t="str">
        <f t="shared" si="1"/>
        <v/>
      </c>
      <c r="H81" s="69" t="s">
        <v>209</v>
      </c>
      <c r="I81" s="69">
        <v>4.5</v>
      </c>
    </row>
    <row r="82" spans="7:9" x14ac:dyDescent="0.2">
      <c r="G82" s="69" t="str">
        <f t="shared" si="1"/>
        <v/>
      </c>
      <c r="H82" s="69" t="s">
        <v>210</v>
      </c>
      <c r="I82" s="69">
        <v>10</v>
      </c>
    </row>
    <row r="83" spans="7:9" x14ac:dyDescent="0.2">
      <c r="G83" s="69" t="str">
        <f t="shared" si="1"/>
        <v/>
      </c>
      <c r="H83" s="69" t="s">
        <v>211</v>
      </c>
      <c r="I83" s="69">
        <v>4</v>
      </c>
    </row>
    <row r="84" spans="7:9" x14ac:dyDescent="0.2">
      <c r="G84" s="69" t="str">
        <f t="shared" si="1"/>
        <v/>
      </c>
      <c r="H84" s="69" t="s">
        <v>212</v>
      </c>
      <c r="I84" s="69">
        <v>7</v>
      </c>
    </row>
    <row r="85" spans="7:9" x14ac:dyDescent="0.2">
      <c r="G85" s="69" t="str">
        <f t="shared" si="1"/>
        <v/>
      </c>
      <c r="H85" s="69" t="s">
        <v>213</v>
      </c>
      <c r="I85" s="69">
        <v>7.25</v>
      </c>
    </row>
    <row r="86" spans="7:9" x14ac:dyDescent="0.2">
      <c r="G86" s="69" t="str">
        <f t="shared" si="1"/>
        <v/>
      </c>
      <c r="H86" s="69" t="s">
        <v>214</v>
      </c>
      <c r="I86" s="69">
        <v>9</v>
      </c>
    </row>
    <row r="87" spans="7:9" x14ac:dyDescent="0.2">
      <c r="H87" s="69" t="s">
        <v>215</v>
      </c>
      <c r="I87" s="69">
        <v>16</v>
      </c>
    </row>
  </sheetData>
  <sortState xmlns:xlrd2="http://schemas.microsoft.com/office/spreadsheetml/2017/richdata2" ref="C4:E50">
    <sortCondition ref="C4:C50"/>
  </sortState>
  <mergeCells count="2">
    <mergeCell ref="C1:E1"/>
    <mergeCell ref="A1:B1"/>
  </mergeCells>
  <hyperlinks>
    <hyperlink ref="C1:E1" r:id="rId1" display="Grain Lookup" xr:uid="{00000000-0004-0000-0200-000000000000}"/>
  </hyperlinks>
  <pageMargins left="0.7" right="0.7" top="0.75" bottom="0.75" header="0.3" footer="0.3"/>
  <pageSetup paperSize="0" orientation="portrait" horizontalDpi="0" verticalDpi="0" copie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77</vt:i4>
      </vt:variant>
    </vt:vector>
  </HeadingPairs>
  <TitlesOfParts>
    <vt:vector size="80" baseType="lpstr">
      <vt:lpstr>CalcWorksheet</vt:lpstr>
      <vt:lpstr>Summary</vt:lpstr>
      <vt:lpstr>Admin</vt:lpstr>
      <vt:lpstr>assumedEFF</vt:lpstr>
      <vt:lpstr>atten1</vt:lpstr>
      <vt:lpstr>atten2</vt:lpstr>
      <vt:lpstr>atten3</vt:lpstr>
      <vt:lpstr>batchsize</vt:lpstr>
      <vt:lpstr>beername</vt:lpstr>
      <vt:lpstr>beerstyle</vt:lpstr>
      <vt:lpstr>boillength</vt:lpstr>
      <vt:lpstr>brewdate</vt:lpstr>
      <vt:lpstr>brewers</vt:lpstr>
      <vt:lpstr>estabv</vt:lpstr>
      <vt:lpstr>estabv2</vt:lpstr>
      <vt:lpstr>estabv3</vt:lpstr>
      <vt:lpstr>EstSrm</vt:lpstr>
      <vt:lpstr>EstSrmColor</vt:lpstr>
      <vt:lpstr>fermentday</vt:lpstr>
      <vt:lpstr>fg</vt:lpstr>
      <vt:lpstr>fgav2</vt:lpstr>
      <vt:lpstr>fgdate</vt:lpstr>
      <vt:lpstr>fgdate2</vt:lpstr>
      <vt:lpstr>fgdate3</vt:lpstr>
      <vt:lpstr>fgrav3</vt:lpstr>
      <vt:lpstr>fgravdate2</vt:lpstr>
      <vt:lpstr>fgravdate3</vt:lpstr>
      <vt:lpstr>grain</vt:lpstr>
      <vt:lpstr>Grainlookup</vt:lpstr>
      <vt:lpstr>hopquantity</vt:lpstr>
      <vt:lpstr>hops</vt:lpstr>
      <vt:lpstr>hops2</vt:lpstr>
      <vt:lpstr>hoptype</vt:lpstr>
      <vt:lpstr>Ingredient</vt:lpstr>
      <vt:lpstr>irishmoss</vt:lpstr>
      <vt:lpstr>Maltnames</vt:lpstr>
      <vt:lpstr>maltper</vt:lpstr>
      <vt:lpstr>maltquantity</vt:lpstr>
      <vt:lpstr>malttotal</vt:lpstr>
      <vt:lpstr>mash</vt:lpstr>
      <vt:lpstr>mashpH</vt:lpstr>
      <vt:lpstr>mashtemp</vt:lpstr>
      <vt:lpstr>mashtemp1</vt:lpstr>
      <vt:lpstr>mashtemp2</vt:lpstr>
      <vt:lpstr>mashtemp3</vt:lpstr>
      <vt:lpstr>mashtemp4</vt:lpstr>
      <vt:lpstr>mashthick</vt:lpstr>
      <vt:lpstr>mashtime</vt:lpstr>
      <vt:lpstr>mashtime1</vt:lpstr>
      <vt:lpstr>mashtime2</vt:lpstr>
      <vt:lpstr>mashtime3</vt:lpstr>
      <vt:lpstr>mashtime4</vt:lpstr>
      <vt:lpstr>mashtype</vt:lpstr>
      <vt:lpstr>MEff</vt:lpstr>
      <vt:lpstr>og</vt:lpstr>
      <vt:lpstr>ogdate</vt:lpstr>
      <vt:lpstr>ogdate2</vt:lpstr>
      <vt:lpstr>ogdate3</vt:lpstr>
      <vt:lpstr>ograv2</vt:lpstr>
      <vt:lpstr>ograv3</vt:lpstr>
      <vt:lpstr>oxy</vt:lpstr>
      <vt:lpstr>quan2</vt:lpstr>
      <vt:lpstr>quan3</vt:lpstr>
      <vt:lpstr>recipehops</vt:lpstr>
      <vt:lpstr>recipeibu</vt:lpstr>
      <vt:lpstr>srm</vt:lpstr>
      <vt:lpstr>striketemp</vt:lpstr>
      <vt:lpstr>strikevolume</vt:lpstr>
      <vt:lpstr>targetabv</vt:lpstr>
      <vt:lpstr>targetog</vt:lpstr>
      <vt:lpstr>targetp</vt:lpstr>
      <vt:lpstr>totalibu</vt:lpstr>
      <vt:lpstr>Use</vt:lpstr>
      <vt:lpstr>watertreat</vt:lpstr>
      <vt:lpstr>yearbatch</vt:lpstr>
      <vt:lpstr>yeastnutrient</vt:lpstr>
      <vt:lpstr>yeastquantity</vt:lpstr>
      <vt:lpstr>yeasttype</vt:lpstr>
      <vt:lpstr>yeasttype2</vt:lpstr>
      <vt:lpstr>yeasttype3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</dc:creator>
  <cp:lastModifiedBy>Dave Carpenter</cp:lastModifiedBy>
  <cp:revision/>
  <cp:lastPrinted>2020-03-21T18:45:14Z</cp:lastPrinted>
  <dcterms:created xsi:type="dcterms:W3CDTF">2015-01-02T17:06:29Z</dcterms:created>
  <dcterms:modified xsi:type="dcterms:W3CDTF">2020-04-15T20:58:26Z</dcterms:modified>
</cp:coreProperties>
</file>